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chartsheets/sheet1.xml" ContentType="application/vnd.openxmlformats-officedocument.spreadsheetml.chart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3" activeTab="3"/>
  </bookViews>
  <sheets>
    <sheet name="Top Sheet" sheetId="9" r:id="rId1"/>
    <sheet name="Summary New Year" sheetId="20" r:id="rId2"/>
    <sheet name="Annual Report" sheetId="35" r:id="rId3"/>
    <sheet name="New Year-Full Year" sheetId="1" r:id="rId4"/>
    <sheet name="Analysis of Rates" sheetId="36" state="hidden" r:id="rId5"/>
    <sheet name="Technology" sheetId="48" r:id="rId6"/>
    <sheet name="Year End Overage" sheetId="49" r:id="rId7"/>
    <sheet name="John" sheetId="39" r:id="rId8"/>
    <sheet name="Housing Letter" sheetId="50" r:id="rId9"/>
    <sheet name="Band and Other Music" sheetId="22" r:id="rId10"/>
    <sheet name="Income Pacing" sheetId="46" r:id="rId11"/>
    <sheet name="Rates for Cheryl" sheetId="24" r:id="rId12"/>
    <sheet name="Comparison" sheetId="32" state="hidden" r:id="rId13"/>
    <sheet name="10 year Experience" sheetId="45" state="hidden" r:id="rId14"/>
    <sheet name="Pastor Kelly" sheetId="29" state="hidden" r:id="rId15"/>
    <sheet name="Interim Pastor" sheetId="43" state="hidden" r:id="rId16"/>
    <sheet name="2023 Est-P Kelly" sheetId="37" state="hidden" r:id="rId17"/>
    <sheet name="Glen and Cheryl" sheetId="38" state="hidden" r:id="rId18"/>
    <sheet name="Pie Chart" sheetId="27" state="hidden" r:id="rId19"/>
    <sheet name="Expenses" sheetId="28" state="hidden" r:id="rId20"/>
    <sheet name="Benevolence" sheetId="31" state="hidden" r:id="rId21"/>
    <sheet name="Dec Council Meeting" sheetId="34" state="hidden" r:id="rId22"/>
    <sheet name="Options" sheetId="33" state="hidden" r:id="rId23"/>
    <sheet name="PK to Cheryl" sheetId="41" state="hidden" r:id="rId24"/>
    <sheet name="Pastor Karen" sheetId="21" state="hidden" r:id="rId25"/>
    <sheet name="Cheryl Salary Range" sheetId="42" state="hidden" r:id="rId26"/>
  </sheets>
  <externalReferences>
    <externalReference r:id="rId27"/>
  </externalReferences>
  <definedNames>
    <definedName name="Bud_Yr">'Top Sheet'!$C$2</definedName>
    <definedName name="dddd" localSheetId="13">#REF!</definedName>
    <definedName name="dddd" localSheetId="4">#REF!</definedName>
    <definedName name="dddd" localSheetId="15">#REF!</definedName>
    <definedName name="dddd" localSheetId="7">#REF!</definedName>
    <definedName name="dddd" localSheetId="14">#REF!</definedName>
    <definedName name="dddd" localSheetId="23">#REF!</definedName>
    <definedName name="dddd">#REF!</definedName>
    <definedName name="_xlnm.Print_Titles" localSheetId="19">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P100" i="1" l="1"/>
  <c r="E11" i="39" l="1"/>
  <c r="L26" i="39"/>
  <c r="I23" i="39" l="1"/>
  <c r="I29" i="39"/>
  <c r="I31" i="39"/>
  <c r="L32" i="39"/>
  <c r="L31" i="39"/>
  <c r="L17" i="39"/>
  <c r="L18" i="39" s="1"/>
  <c r="L19" i="39" s="1"/>
  <c r="L22" i="39"/>
  <c r="L13" i="39"/>
  <c r="L14" i="39" s="1"/>
  <c r="L15" i="39" s="1"/>
  <c r="E9" i="39" s="1"/>
  <c r="L30" i="39"/>
  <c r="I30" i="39"/>
  <c r="I32" i="39"/>
  <c r="L24" i="39"/>
  <c r="I26" i="39"/>
  <c r="E28" i="39"/>
  <c r="E27" i="39"/>
  <c r="E26" i="39"/>
  <c r="E21" i="39"/>
  <c r="E19" i="39"/>
  <c r="E15" i="39"/>
  <c r="E29" i="39" l="1"/>
  <c r="E7" i="39"/>
  <c r="C24" i="24"/>
  <c r="C20" i="24"/>
  <c r="E10" i="35" l="1"/>
  <c r="C10" i="35"/>
  <c r="U90" i="1" l="1"/>
  <c r="V74" i="1"/>
  <c r="U64" i="1"/>
  <c r="U13" i="1"/>
  <c r="C16" i="49" l="1"/>
  <c r="D11" i="49"/>
  <c r="D10" i="49"/>
  <c r="S165" i="1" l="1"/>
  <c r="S164" i="1"/>
  <c r="W41" i="1"/>
  <c r="S41" i="1"/>
  <c r="R41" i="1"/>
  <c r="W13" i="1"/>
  <c r="S13" i="1"/>
  <c r="R13" i="1"/>
  <c r="C13" i="48" l="1"/>
  <c r="P101" i="1"/>
  <c r="R46" i="1"/>
  <c r="S46" i="1"/>
  <c r="W46" i="1"/>
  <c r="P57" i="1"/>
  <c r="F93" i="1"/>
  <c r="R45" i="1"/>
  <c r="S45" i="1"/>
  <c r="W45" i="1"/>
  <c r="P17" i="1"/>
  <c r="R22" i="1"/>
  <c r="S22" i="1"/>
  <c r="W22" i="1"/>
  <c r="C17" i="49" l="1"/>
  <c r="C21" i="49" s="1"/>
  <c r="C29" i="48"/>
  <c r="C14" i="48"/>
  <c r="C11" i="48"/>
  <c r="C10" i="48"/>
  <c r="C6" i="48"/>
  <c r="U74" i="1"/>
  <c r="C18" i="48" l="1"/>
  <c r="P108" i="1" s="1"/>
  <c r="C17" i="48"/>
  <c r="P56" i="1" s="1"/>
  <c r="C15" i="48"/>
  <c r="C61" i="20"/>
  <c r="F61" i="20"/>
  <c r="J61" i="20"/>
  <c r="K61" i="20"/>
  <c r="S55" i="1"/>
  <c r="W55" i="1"/>
  <c r="C19" i="48" l="1"/>
  <c r="P55" i="1"/>
  <c r="H61" i="20"/>
  <c r="L61" i="20"/>
  <c r="F95" i="1"/>
  <c r="F94" i="1"/>
  <c r="F84" i="1"/>
  <c r="H84" i="1" s="1"/>
  <c r="H12" i="22"/>
  <c r="P87" i="1" s="1"/>
  <c r="F9" i="39"/>
  <c r="D27" i="39"/>
  <c r="P71" i="1" s="1"/>
  <c r="D28" i="39"/>
  <c r="P69" i="1" s="1"/>
  <c r="D26" i="39"/>
  <c r="P65" i="1" s="1"/>
  <c r="D21" i="39"/>
  <c r="D19" i="39"/>
  <c r="D15" i="39"/>
  <c r="D11" i="39"/>
  <c r="D9" i="39"/>
  <c r="P70" i="1" s="1"/>
  <c r="D7" i="39"/>
  <c r="D8" i="39"/>
  <c r="E8" i="39" s="1"/>
  <c r="C29" i="39"/>
  <c r="C6" i="39"/>
  <c r="B29" i="39"/>
  <c r="B8" i="39"/>
  <c r="B6" i="39" s="1"/>
  <c r="G43" i="22"/>
  <c r="H43" i="22"/>
  <c r="G32" i="22"/>
  <c r="G46" i="22"/>
  <c r="F46" i="22"/>
  <c r="E46" i="22"/>
  <c r="D46" i="22"/>
  <c r="C46" i="22"/>
  <c r="H26" i="22"/>
  <c r="H39" i="22" s="1"/>
  <c r="Q108" i="1"/>
  <c r="Q107" i="1"/>
  <c r="H6" i="22"/>
  <c r="H69" i="22" s="1"/>
  <c r="H71" i="22" s="1"/>
  <c r="H57" i="22"/>
  <c r="H35" i="22"/>
  <c r="H74" i="22"/>
  <c r="H73" i="22"/>
  <c r="H27" i="22"/>
  <c r="H19" i="22"/>
  <c r="H18" i="22"/>
  <c r="Q82" i="1"/>
  <c r="Q81" i="1"/>
  <c r="Q80" i="1"/>
  <c r="Q79" i="1"/>
  <c r="Q78" i="1"/>
  <c r="Q77" i="1"/>
  <c r="Q76" i="1"/>
  <c r="Q75" i="1"/>
  <c r="Q74" i="1"/>
  <c r="Q59" i="1"/>
  <c r="Q50" i="1"/>
  <c r="X4" i="1"/>
  <c r="P64" i="1" l="1"/>
  <c r="E10" i="39"/>
  <c r="E6" i="39"/>
  <c r="P94" i="1"/>
  <c r="E61" i="20"/>
  <c r="G61" i="20" s="1"/>
  <c r="R55" i="1"/>
  <c r="P84" i="1"/>
  <c r="H53" i="22"/>
  <c r="D29" i="39"/>
  <c r="D6" i="39"/>
  <c r="D10" i="39"/>
  <c r="D12" i="39" s="1"/>
  <c r="C10" i="39"/>
  <c r="B10" i="39"/>
  <c r="B12" i="39" s="1"/>
  <c r="B13" i="39" s="1"/>
  <c r="H30" i="22"/>
  <c r="H45" i="22"/>
  <c r="H76" i="22"/>
  <c r="H79" i="22" s="1"/>
  <c r="H37" i="22"/>
  <c r="H40" i="22" s="1"/>
  <c r="H14" i="22"/>
  <c r="H49" i="22"/>
  <c r="H51" i="22" s="1"/>
  <c r="D13" i="39" l="1"/>
  <c r="D20" i="39" s="1"/>
  <c r="P66" i="1"/>
  <c r="S84" i="1"/>
  <c r="R84" i="1"/>
  <c r="H54" i="22"/>
  <c r="D22" i="39"/>
  <c r="D23" i="39" s="1"/>
  <c r="P68" i="1" s="1"/>
  <c r="D16" i="39"/>
  <c r="P67" i="1" s="1"/>
  <c r="C12" i="39"/>
  <c r="C13" i="39" s="1"/>
  <c r="B22" i="39"/>
  <c r="B20" i="39"/>
  <c r="B16" i="39"/>
  <c r="H31" i="22"/>
  <c r="H46" i="22"/>
  <c r="H47" i="22" s="1"/>
  <c r="H58" i="22" s="1"/>
  <c r="P90" i="1" s="1"/>
  <c r="H62" i="22"/>
  <c r="H64" i="22" s="1"/>
  <c r="H67" i="22" s="1"/>
  <c r="H16" i="22"/>
  <c r="H20" i="22" s="1"/>
  <c r="H22" i="22" s="1"/>
  <c r="H28" i="22" s="1"/>
  <c r="H32" i="22" l="1"/>
  <c r="P89" i="1" s="1"/>
  <c r="D31" i="39"/>
  <c r="C20" i="39"/>
  <c r="C22" i="39"/>
  <c r="C16" i="39"/>
  <c r="B23" i="39"/>
  <c r="B31" i="39" s="1"/>
  <c r="D24" i="43"/>
  <c r="D32" i="39" l="1"/>
  <c r="C23" i="39"/>
  <c r="C31" i="39" s="1"/>
  <c r="E20" i="43"/>
  <c r="C20" i="43"/>
  <c r="E17" i="43"/>
  <c r="C17" i="43"/>
  <c r="E18" i="43"/>
  <c r="C18" i="43"/>
  <c r="E15" i="43"/>
  <c r="D15" i="43"/>
  <c r="C15" i="43"/>
  <c r="E19" i="43" l="1"/>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E15" i="46" l="1"/>
  <c r="B7" i="45"/>
  <c r="K94" i="20"/>
  <c r="J94" i="20"/>
  <c r="F94" i="20"/>
  <c r="H94" i="20" s="1"/>
  <c r="E94" i="20"/>
  <c r="C94" i="20"/>
  <c r="E22" i="35"/>
  <c r="D17" i="35"/>
  <c r="C17" i="35"/>
  <c r="B17" i="35"/>
  <c r="V129" i="1"/>
  <c r="U129" i="1"/>
  <c r="Q129" i="1"/>
  <c r="P129" i="1"/>
  <c r="W122" i="1"/>
  <c r="S122" i="1"/>
  <c r="R122"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C22" i="43" l="1"/>
  <c r="C21" i="22"/>
  <c r="D21" i="22"/>
  <c r="F54" i="22"/>
  <c r="K73" i="20" l="1"/>
  <c r="K71" i="20"/>
  <c r="J73" i="20"/>
  <c r="J71" i="20"/>
  <c r="F71" i="20"/>
  <c r="E73" i="20"/>
  <c r="L54" i="29" l="1"/>
  <c r="L43" i="29"/>
  <c r="L28" i="29"/>
  <c r="L25" i="29"/>
  <c r="L24" i="29"/>
  <c r="L29" i="29" s="1"/>
  <c r="L34" i="29" s="1"/>
  <c r="L19" i="29"/>
  <c r="L16" i="29"/>
  <c r="L20" i="29" s="1"/>
  <c r="L12" i="29"/>
  <c r="L6" i="29"/>
  <c r="L5" i="29"/>
  <c r="L44" i="29" l="1"/>
  <c r="L45" i="29" s="1"/>
  <c r="L56" i="29"/>
  <c r="L38" i="29"/>
  <c r="L32" i="29"/>
  <c r="L33" i="29" s="1"/>
  <c r="L35" i="29" s="1"/>
  <c r="L36" i="29" s="1"/>
  <c r="P86" i="1" l="1"/>
  <c r="N56" i="29"/>
  <c r="M56" i="29"/>
  <c r="M58" i="29" s="1"/>
  <c r="K57" i="29"/>
  <c r="K58" i="29"/>
  <c r="M25" i="29"/>
  <c r="M12" i="29"/>
  <c r="M5" i="29"/>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H94" i="1" l="1"/>
  <c r="G57" i="22" l="1"/>
  <c r="F51" i="22"/>
  <c r="J49" i="22"/>
  <c r="G18" i="22"/>
  <c r="F35" i="22"/>
  <c r="F37" i="22" s="1"/>
  <c r="F40" i="22" s="1"/>
  <c r="F74" i="22"/>
  <c r="F73" i="22"/>
  <c r="F19" i="22"/>
  <c r="F69" i="22"/>
  <c r="F71" i="22" s="1"/>
  <c r="M54" i="29"/>
  <c r="M43" i="29"/>
  <c r="M28" i="29"/>
  <c r="M14" i="29" s="1"/>
  <c r="M24" i="29"/>
  <c r="M29" i="29" s="1"/>
  <c r="M34" i="29" s="1"/>
  <c r="H81" i="22" l="1"/>
  <c r="Q87" i="1"/>
  <c r="F76" i="22"/>
  <c r="F79" i="22" s="1"/>
  <c r="F43" i="22"/>
  <c r="F14" i="22"/>
  <c r="F21" i="22" s="1"/>
  <c r="M16" i="29"/>
  <c r="M19" i="29" s="1"/>
  <c r="M20" i="29" s="1"/>
  <c r="M7" i="29"/>
  <c r="F47" i="22" l="1"/>
  <c r="F16" i="22"/>
  <c r="F20" i="22" s="1"/>
  <c r="F22" i="22" s="1"/>
  <c r="F31" i="22" s="1"/>
  <c r="F62" i="22"/>
  <c r="F64" i="22" s="1"/>
  <c r="F67" i="22" s="1"/>
  <c r="F27"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8" i="22" l="1"/>
  <c r="F28" i="22"/>
  <c r="F32" i="22" s="1"/>
  <c r="I11" i="38"/>
  <c r="H9" i="38"/>
  <c r="H11" i="38" s="1"/>
  <c r="B21" i="38"/>
  <c r="B23" i="38" s="1"/>
  <c r="C21" i="38"/>
  <c r="C23" i="38" s="1"/>
  <c r="E23" i="38"/>
  <c r="F21" i="38"/>
  <c r="F23" i="38" s="1"/>
  <c r="F11" i="38"/>
  <c r="F81" i="22" l="1"/>
  <c r="H82" i="22" s="1"/>
  <c r="H83" i="22" s="1"/>
  <c r="Q167" i="1"/>
  <c r="R167" i="1"/>
  <c r="P167" i="1"/>
  <c r="S166" i="1"/>
  <c r="S163" i="1"/>
  <c r="S162" i="1"/>
  <c r="S161" i="1"/>
  <c r="Q158" i="1"/>
  <c r="R158" i="1"/>
  <c r="P158" i="1"/>
  <c r="S156" i="1"/>
  <c r="S157" i="1"/>
  <c r="S147" i="1"/>
  <c r="S148" i="1"/>
  <c r="S149" i="1"/>
  <c r="S150" i="1"/>
  <c r="S151" i="1"/>
  <c r="S152" i="1"/>
  <c r="S153" i="1"/>
  <c r="S154" i="1"/>
  <c r="S155" i="1"/>
  <c r="S140" i="1"/>
  <c r="S141" i="1"/>
  <c r="S142" i="1"/>
  <c r="S143" i="1"/>
  <c r="S144" i="1"/>
  <c r="S145" i="1"/>
  <c r="S146" i="1"/>
  <c r="S139" i="1"/>
  <c r="S167" i="1" l="1"/>
  <c r="S158"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P50" i="1"/>
  <c r="P59" i="1"/>
  <c r="H93" i="1"/>
  <c r="C15" i="24"/>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H95"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5" i="22"/>
  <c r="G35" i="22"/>
  <c r="G74" i="22"/>
  <c r="G73" i="22"/>
  <c r="G19" i="22"/>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4" i="22"/>
  <c r="G62" i="22" s="1"/>
  <c r="G64" i="22" s="1"/>
  <c r="G67" i="22" s="1"/>
  <c r="G49" i="22"/>
  <c r="G51" i="22" s="1"/>
  <c r="G54"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9" i="22"/>
  <c r="G71" i="22" s="1"/>
  <c r="G76" i="22" s="1"/>
  <c r="G79" i="22" s="1"/>
  <c r="G37"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G40" i="22" l="1"/>
  <c r="G47" i="22" s="1"/>
  <c r="G58" i="22" s="1"/>
  <c r="G16" i="22"/>
  <c r="G20" i="22" s="1"/>
  <c r="G22" i="22" s="1"/>
  <c r="G31"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8" i="22" l="1"/>
  <c r="Q90" i="1"/>
  <c r="I20" i="29"/>
  <c r="R47" i="21"/>
  <c r="R50" i="21" s="1"/>
  <c r="R51" i="21" s="1"/>
  <c r="R40" i="21"/>
  <c r="R34" i="21"/>
  <c r="R35" i="21" s="1"/>
  <c r="R37" i="21" s="1"/>
  <c r="R38" i="21" s="1"/>
  <c r="F7" i="36"/>
  <c r="F8" i="36" s="1"/>
  <c r="E12" i="35"/>
  <c r="E14" i="35" s="1"/>
  <c r="G81" i="22" l="1"/>
  <c r="Q89"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E7" i="29"/>
  <c r="K38" i="29" l="1"/>
  <c r="K56" i="29" s="1"/>
  <c r="K36" i="29"/>
  <c r="D7" i="37"/>
  <c r="F7" i="37"/>
  <c r="E7" i="37"/>
  <c r="G7" i="37"/>
  <c r="E13" i="37"/>
  <c r="G13" i="37"/>
  <c r="F13" i="37"/>
  <c r="D13" i="37"/>
  <c r="H9" i="36"/>
  <c r="F9" i="36" s="1"/>
  <c r="F42" i="36" s="1"/>
  <c r="D62" i="22"/>
  <c r="D64" i="22" s="1"/>
  <c r="D67" i="22" s="1"/>
  <c r="D35" i="22"/>
  <c r="D43" i="22" s="1"/>
  <c r="D54" i="22" s="1"/>
  <c r="D74" i="22"/>
  <c r="D73" i="22"/>
  <c r="D71" i="22"/>
  <c r="D16" i="22"/>
  <c r="D19" i="22"/>
  <c r="K58" i="21"/>
  <c r="K46" i="21"/>
  <c r="K30" i="21"/>
  <c r="K14" i="21" s="1"/>
  <c r="K24" i="21"/>
  <c r="Q26"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6" i="49" l="1"/>
  <c r="D5" i="49"/>
  <c r="D7" i="49"/>
  <c r="D27" i="22"/>
  <c r="D49" i="22"/>
  <c r="D51" i="22" s="1"/>
  <c r="D37" i="22"/>
  <c r="D40" i="22" s="1"/>
  <c r="D47" i="22" s="1"/>
  <c r="D7" i="32"/>
  <c r="D20" i="22"/>
  <c r="D8" i="35"/>
  <c r="D76" i="22"/>
  <c r="D79" i="22" s="1"/>
  <c r="K59" i="21"/>
  <c r="R4" i="21"/>
  <c r="F10" i="36"/>
  <c r="F11" i="36" s="1"/>
  <c r="H42" i="36"/>
  <c r="K31" i="21"/>
  <c r="K36" i="21" s="1"/>
  <c r="O31" i="21"/>
  <c r="O36" i="21" s="1"/>
  <c r="M26" i="21"/>
  <c r="P26" i="21"/>
  <c r="L26" i="21"/>
  <c r="N26" i="21"/>
  <c r="C6" i="32"/>
  <c r="C7" i="32" s="1"/>
  <c r="E28" i="29"/>
  <c r="E14" i="29" s="1"/>
  <c r="E16" i="29" s="1"/>
  <c r="E24" i="29"/>
  <c r="U26" i="1"/>
  <c r="C8" i="35" s="1"/>
  <c r="V26" i="1"/>
  <c r="W25" i="1"/>
  <c r="S25" i="1"/>
  <c r="R25" i="1"/>
  <c r="W24" i="1"/>
  <c r="S24" i="1"/>
  <c r="R24" i="1"/>
  <c r="W23" i="1"/>
  <c r="S23" i="1"/>
  <c r="R23" i="1"/>
  <c r="W21" i="1"/>
  <c r="S21" i="1"/>
  <c r="R21" i="1"/>
  <c r="W20" i="1"/>
  <c r="S20" i="1"/>
  <c r="R20" i="1"/>
  <c r="W19" i="1"/>
  <c r="S19" i="1"/>
  <c r="R19" i="1"/>
  <c r="W18" i="1"/>
  <c r="S18" i="1"/>
  <c r="R18" i="1"/>
  <c r="W17"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W93" i="1"/>
  <c r="D28" i="22" l="1"/>
  <c r="D32" i="22" s="1"/>
  <c r="D81" i="22" s="1"/>
  <c r="F82" i="22" s="1"/>
  <c r="F83" i="22" s="1"/>
  <c r="D22" i="22"/>
  <c r="D31" i="22" s="1"/>
  <c r="E19" i="29"/>
  <c r="R17" i="1"/>
  <c r="P26" i="1"/>
  <c r="G9" i="36"/>
  <c r="C9" i="32"/>
  <c r="E29" i="29"/>
  <c r="E34" i="29" s="1"/>
  <c r="S17" i="1"/>
  <c r="G6" i="31"/>
  <c r="C15" i="31"/>
  <c r="F15" i="31"/>
  <c r="C21" i="24"/>
  <c r="C62" i="22"/>
  <c r="C64" i="22" s="1"/>
  <c r="C67" i="22" s="1"/>
  <c r="C35" i="22"/>
  <c r="C37" i="22" s="1"/>
  <c r="C40" i="22" s="1"/>
  <c r="C74" i="22"/>
  <c r="C73" i="22"/>
  <c r="C71" i="22"/>
  <c r="C19" i="22"/>
  <c r="C16" i="22"/>
  <c r="I30" i="21"/>
  <c r="I14" i="21" s="1"/>
  <c r="B8" i="35" l="1"/>
  <c r="C27" i="22"/>
  <c r="C49" i="22"/>
  <c r="C51" i="22" s="1"/>
  <c r="C10" i="32"/>
  <c r="C12" i="32"/>
  <c r="C13" i="32" s="1"/>
  <c r="G10" i="36"/>
  <c r="G11" i="36" s="1"/>
  <c r="G42" i="36"/>
  <c r="R26" i="1"/>
  <c r="C43" i="22"/>
  <c r="C20" i="22"/>
  <c r="C76" i="22"/>
  <c r="C79" i="22" s="1"/>
  <c r="G14" i="21"/>
  <c r="R75" i="1"/>
  <c r="C43" i="29"/>
  <c r="C5" i="29"/>
  <c r="W78" i="1"/>
  <c r="S78" i="1"/>
  <c r="R78" i="1"/>
  <c r="V83" i="1"/>
  <c r="U83" i="1"/>
  <c r="W82" i="1"/>
  <c r="S82" i="1"/>
  <c r="W81" i="1"/>
  <c r="S81" i="1"/>
  <c r="W80" i="1"/>
  <c r="S80" i="1"/>
  <c r="W79" i="1"/>
  <c r="W77" i="1"/>
  <c r="W76" i="1"/>
  <c r="W75" i="1"/>
  <c r="S75" i="1"/>
  <c r="C28" i="22" l="1"/>
  <c r="C32" i="22" s="1"/>
  <c r="C22" i="22"/>
  <c r="C31" i="22" s="1"/>
  <c r="C47" i="22"/>
  <c r="C54" i="22"/>
  <c r="C16" i="29"/>
  <c r="C54" i="29"/>
  <c r="D54" i="29"/>
  <c r="R80" i="1"/>
  <c r="W74" i="1"/>
  <c r="R81" i="1"/>
  <c r="R82" i="1"/>
  <c r="W83" i="1"/>
  <c r="S74" i="1"/>
  <c r="E43" i="29"/>
  <c r="D43" i="29"/>
  <c r="I59" i="21"/>
  <c r="I46" i="21"/>
  <c r="I24" i="21"/>
  <c r="I26" i="21" s="1"/>
  <c r="C81" i="22" l="1"/>
  <c r="C19" i="29"/>
  <c r="C20" i="29" s="1"/>
  <c r="C32" i="29" s="1"/>
  <c r="C33" i="29" s="1"/>
  <c r="C38" i="29" s="1"/>
  <c r="C36" i="29" s="1"/>
  <c r="E54" i="29"/>
  <c r="I31" i="21"/>
  <c r="I36" i="21" s="1"/>
  <c r="D16" i="29"/>
  <c r="D19" i="29" s="1"/>
  <c r="D5" i="29"/>
  <c r="E20" i="29" l="1"/>
  <c r="C44" i="29"/>
  <c r="C45" i="29" s="1"/>
  <c r="C56" i="29" s="1"/>
  <c r="E44" i="29" l="1"/>
  <c r="S76" i="1"/>
  <c r="D7" i="24"/>
  <c r="C7" i="24"/>
  <c r="E32" i="29"/>
  <c r="E33" i="29" s="1"/>
  <c r="E35" i="29" s="1"/>
  <c r="E36" i="29" s="1"/>
  <c r="E38" i="29"/>
  <c r="E56" i="29" s="1"/>
  <c r="E45" i="29"/>
  <c r="R74" i="1"/>
  <c r="D20" i="29"/>
  <c r="R76" i="1"/>
  <c r="Q83" i="1" l="1"/>
  <c r="S77" i="1"/>
  <c r="C8" i="24"/>
  <c r="D44" i="29"/>
  <c r="D45" i="29" s="1"/>
  <c r="D32" i="29"/>
  <c r="D33" i="29" s="1"/>
  <c r="D38" i="29" s="1"/>
  <c r="D36" i="29" s="1"/>
  <c r="R77" i="1" l="1"/>
  <c r="I58" i="29"/>
  <c r="N58" i="29"/>
  <c r="N57" i="29"/>
  <c r="I57" i="29"/>
  <c r="D56" i="29"/>
  <c r="P83" i="1"/>
  <c r="C65" i="20" l="1"/>
  <c r="E65" i="20"/>
  <c r="F65" i="20"/>
  <c r="J65" i="20"/>
  <c r="K65" i="20"/>
  <c r="V60" i="1"/>
  <c r="U60" i="1"/>
  <c r="Q60" i="1"/>
  <c r="P60" i="1"/>
  <c r="W59" i="1"/>
  <c r="S59" i="1"/>
  <c r="R59" i="1"/>
  <c r="C12" i="24"/>
  <c r="R87" i="1"/>
  <c r="W87" i="1"/>
  <c r="E35" i="22"/>
  <c r="E37" i="22" s="1"/>
  <c r="E40" i="22" s="1"/>
  <c r="E73" i="22"/>
  <c r="E74" i="22"/>
  <c r="E19" i="22"/>
  <c r="E14" i="22"/>
  <c r="C96" i="20"/>
  <c r="E96" i="20"/>
  <c r="F96" i="20"/>
  <c r="H96" i="20" s="1"/>
  <c r="J96" i="20"/>
  <c r="K96" i="20"/>
  <c r="L96" i="20" s="1"/>
  <c r="P93" i="1"/>
  <c r="G58" i="21"/>
  <c r="E16" i="22" l="1"/>
  <c r="E21" i="22"/>
  <c r="H65" i="20"/>
  <c r="L65" i="20"/>
  <c r="G65" i="20"/>
  <c r="G96" i="20"/>
  <c r="R79" i="1"/>
  <c r="R83" i="1" s="1"/>
  <c r="S79" i="1"/>
  <c r="E43" i="22"/>
  <c r="S87" i="1"/>
  <c r="E20" i="22"/>
  <c r="E62" i="22"/>
  <c r="E64" i="22" s="1"/>
  <c r="E67" i="22" s="1"/>
  <c r="E69" i="22"/>
  <c r="E71" i="22" s="1"/>
  <c r="E76" i="22" s="1"/>
  <c r="E79" i="22" s="1"/>
  <c r="G24" i="21"/>
  <c r="G26" i="21" s="1"/>
  <c r="G31" i="21" s="1"/>
  <c r="D24" i="21"/>
  <c r="W70" i="1"/>
  <c r="D59" i="21"/>
  <c r="E59" i="21"/>
  <c r="F59" i="21"/>
  <c r="G59" i="21"/>
  <c r="C59" i="21"/>
  <c r="H58" i="21"/>
  <c r="H59" i="21" s="1"/>
  <c r="H37" i="21"/>
  <c r="H16" i="21"/>
  <c r="H46" i="21"/>
  <c r="E4" i="21"/>
  <c r="E46" i="21"/>
  <c r="E22" i="21"/>
  <c r="E24" i="21" s="1"/>
  <c r="E26" i="21" s="1"/>
  <c r="E14" i="21"/>
  <c r="D48" i="21"/>
  <c r="D46" i="21"/>
  <c r="F46" i="21"/>
  <c r="G46" i="21"/>
  <c r="C46" i="21"/>
  <c r="E28" i="22" l="1"/>
  <c r="E22" i="22"/>
  <c r="E31" i="22" s="1"/>
  <c r="E47" i="22"/>
  <c r="E54" i="22"/>
  <c r="E27" i="22"/>
  <c r="E32" i="22" s="1"/>
  <c r="E49" i="22"/>
  <c r="E51" i="22" s="1"/>
  <c r="S83" i="1"/>
  <c r="R70" i="1"/>
  <c r="S70" i="1"/>
  <c r="E31" i="21"/>
  <c r="D31" i="21"/>
  <c r="D49" i="21" s="1"/>
  <c r="D6" i="21"/>
  <c r="D9" i="21"/>
  <c r="D14" i="21"/>
  <c r="C14" i="21"/>
  <c r="F14" i="21"/>
  <c r="F22" i="21"/>
  <c r="F24" i="21" s="1"/>
  <c r="F26" i="21" s="1"/>
  <c r="G36" i="21"/>
  <c r="C9" i="21"/>
  <c r="C22" i="21" s="1"/>
  <c r="C24" i="21" s="1"/>
  <c r="C26" i="21" s="1"/>
  <c r="B6" i="21"/>
  <c r="W124" i="1"/>
  <c r="S124" i="1"/>
  <c r="R124" i="1"/>
  <c r="L93" i="1"/>
  <c r="E81" i="22" l="1"/>
  <c r="G82" i="22" s="1"/>
  <c r="G83" i="22" s="1"/>
  <c r="D36" i="21"/>
  <c r="H18" i="21"/>
  <c r="H19" i="21" s="1"/>
  <c r="F31" i="21"/>
  <c r="F48" i="21"/>
  <c r="E36" i="21"/>
  <c r="E49" i="21"/>
  <c r="C31" i="21"/>
  <c r="C48" i="21"/>
  <c r="B7" i="21"/>
  <c r="S93" i="1"/>
  <c r="K99" i="20"/>
  <c r="J99" i="20"/>
  <c r="F99" i="20"/>
  <c r="E99" i="20"/>
  <c r="E82" i="22" l="1"/>
  <c r="E83" i="22" s="1"/>
  <c r="G99" i="20"/>
  <c r="L99" i="20"/>
  <c r="H47" i="21"/>
  <c r="H50" i="21" s="1"/>
  <c r="G4" i="21"/>
  <c r="G7" i="21" s="1"/>
  <c r="G11" i="21" s="1"/>
  <c r="I11" i="21" s="1"/>
  <c r="I12" i="21" s="1"/>
  <c r="C4" i="21"/>
  <c r="C7" i="21" s="1"/>
  <c r="D4" i="21"/>
  <c r="D7" i="21" s="1"/>
  <c r="D11" i="21" s="1"/>
  <c r="C36" i="21"/>
  <c r="C49" i="21"/>
  <c r="F36" i="21"/>
  <c r="F49" i="21"/>
  <c r="H99" i="20"/>
  <c r="R93"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98"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27" i="1"/>
  <c r="S127" i="1"/>
  <c r="W67" i="1"/>
  <c r="L61" i="21" l="1"/>
  <c r="M61" i="21"/>
  <c r="P61" i="21"/>
  <c r="O61" i="21"/>
  <c r="I38" i="21"/>
  <c r="I61" i="21"/>
  <c r="G35" i="21"/>
  <c r="G37" i="21" s="1"/>
  <c r="G40" i="21" s="1"/>
  <c r="R127" i="1"/>
  <c r="M62" i="21" l="1"/>
  <c r="M63" i="21" s="1"/>
  <c r="P62" i="21"/>
  <c r="P63" i="21" s="1"/>
  <c r="G61" i="21"/>
  <c r="G38" i="21"/>
  <c r="L95" i="1"/>
  <c r="L94" i="1"/>
  <c r="I62" i="21" l="1"/>
  <c r="I63" i="21" s="1"/>
  <c r="C13" i="24"/>
  <c r="M60" i="1"/>
  <c r="I60" i="1"/>
  <c r="E60" i="1"/>
  <c r="U2" i="1"/>
  <c r="R3" i="1"/>
  <c r="Q3" i="1"/>
  <c r="H4" i="36" s="1"/>
  <c r="P3" i="1"/>
  <c r="H16" i="36" l="1"/>
  <c r="H34" i="36"/>
  <c r="G4" i="36"/>
  <c r="F4" i="36"/>
  <c r="W90" i="1"/>
  <c r="S90" i="1"/>
  <c r="G34" i="36" l="1"/>
  <c r="G16" i="36"/>
  <c r="F34" i="36"/>
  <c r="F16" i="36"/>
  <c r="R90" i="1"/>
  <c r="S98" i="1" l="1"/>
  <c r="R98" i="1"/>
  <c r="C9" i="20"/>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W123" i="1" l="1"/>
  <c r="K95" i="20" l="1"/>
  <c r="J95" i="20"/>
  <c r="F95" i="20"/>
  <c r="S123" i="1"/>
  <c r="E95" i="20" l="1"/>
  <c r="R123" i="1"/>
  <c r="G95" i="20" l="1"/>
  <c r="Q112" i="1"/>
  <c r="Q119" i="1"/>
  <c r="Q91" i="1"/>
  <c r="F70" i="20" s="1"/>
  <c r="Q51" i="1"/>
  <c r="Q39" i="1"/>
  <c r="Q120" i="1" l="1"/>
  <c r="D11" i="35" s="1"/>
  <c r="J3" i="20"/>
  <c r="Q102" i="1" l="1"/>
  <c r="K10" i="20"/>
  <c r="K11" i="20"/>
  <c r="J10" i="20"/>
  <c r="J11" i="20"/>
  <c r="E55" i="20"/>
  <c r="F55" i="20"/>
  <c r="J55" i="20"/>
  <c r="K55" i="20"/>
  <c r="G55" i="20" l="1"/>
  <c r="H55" i="20"/>
  <c r="L55" i="20"/>
  <c r="W49" i="1"/>
  <c r="S49" i="1"/>
  <c r="R49" i="1" l="1"/>
  <c r="E38" i="20" l="1"/>
  <c r="F38" i="20"/>
  <c r="J38" i="20"/>
  <c r="K38" i="20"/>
  <c r="G38" i="20" l="1"/>
  <c r="L38" i="20"/>
  <c r="H38" i="20"/>
  <c r="R128" i="1"/>
  <c r="R126" i="1"/>
  <c r="R125" i="1"/>
  <c r="R118" i="1"/>
  <c r="R117" i="1"/>
  <c r="R116" i="1"/>
  <c r="R115" i="1"/>
  <c r="R114" i="1"/>
  <c r="R111" i="1"/>
  <c r="R110" i="1"/>
  <c r="R109" i="1"/>
  <c r="R108" i="1"/>
  <c r="R107" i="1"/>
  <c r="R106" i="1"/>
  <c r="R101" i="1"/>
  <c r="R96" i="1"/>
  <c r="R88" i="1"/>
  <c r="R86" i="1"/>
  <c r="R71" i="1"/>
  <c r="R69" i="1"/>
  <c r="R65" i="1"/>
  <c r="R56" i="1"/>
  <c r="R54" i="1"/>
  <c r="R53" i="1"/>
  <c r="R48" i="1"/>
  <c r="R42" i="1"/>
  <c r="R40" i="1"/>
  <c r="R37" i="1"/>
  <c r="R34" i="1"/>
  <c r="R33" i="1"/>
  <c r="R32" i="1"/>
  <c r="R31" i="1"/>
  <c r="R30" i="1"/>
  <c r="R129" i="1" l="1"/>
  <c r="R112" i="1"/>
  <c r="R119" i="1"/>
  <c r="R120" i="1" l="1"/>
  <c r="S34" i="1" l="1"/>
  <c r="W34" i="1"/>
  <c r="F4" i="20" l="1"/>
  <c r="E4" i="20"/>
  <c r="K4" i="20"/>
  <c r="J4" i="20"/>
  <c r="W40" i="1"/>
  <c r="S40"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W69" i="1"/>
  <c r="S69" i="1"/>
  <c r="J66" i="20" l="1"/>
  <c r="K66" i="20"/>
  <c r="K48" i="20"/>
  <c r="J83" i="20"/>
  <c r="J39" i="20"/>
  <c r="J13" i="20"/>
  <c r="J43" i="20"/>
  <c r="K83" i="20"/>
  <c r="K91" i="20"/>
  <c r="J48" i="20"/>
  <c r="J91" i="20"/>
  <c r="K13" i="20"/>
  <c r="K43" i="20"/>
  <c r="J92" i="20" l="1"/>
  <c r="K92" i="20"/>
  <c r="R57" i="1"/>
  <c r="R58" i="1"/>
  <c r="R47" i="1"/>
  <c r="R50" i="1"/>
  <c r="R44" i="1"/>
  <c r="R38" i="1"/>
  <c r="W66" i="1"/>
  <c r="R60" i="1" l="1"/>
  <c r="R39" i="1"/>
  <c r="R51"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F66" i="20"/>
  <c r="R97"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H91" i="20" l="1"/>
  <c r="E15" i="20" l="1"/>
  <c r="H15" i="20" l="1"/>
  <c r="G15" i="20"/>
  <c r="R94" i="1"/>
  <c r="R89" i="1" l="1"/>
  <c r="R91"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S128" i="1" l="1"/>
  <c r="S126" i="1"/>
  <c r="S125" i="1"/>
  <c r="S118" i="1"/>
  <c r="S117" i="1"/>
  <c r="S116" i="1"/>
  <c r="S115" i="1"/>
  <c r="S114" i="1"/>
  <c r="S111" i="1"/>
  <c r="S110" i="1"/>
  <c r="S109" i="1"/>
  <c r="S108" i="1"/>
  <c r="S107" i="1"/>
  <c r="S106" i="1"/>
  <c r="S101" i="1"/>
  <c r="S97" i="1"/>
  <c r="S96" i="1"/>
  <c r="S94" i="1"/>
  <c r="S89" i="1"/>
  <c r="S88" i="1"/>
  <c r="S86" i="1"/>
  <c r="S71" i="1"/>
  <c r="S65" i="1"/>
  <c r="S58" i="1"/>
  <c r="S57" i="1"/>
  <c r="S56" i="1"/>
  <c r="S54" i="1"/>
  <c r="S53" i="1"/>
  <c r="S50" i="1"/>
  <c r="S48" i="1"/>
  <c r="S47" i="1"/>
  <c r="S44" i="1"/>
  <c r="S42" i="1"/>
  <c r="S38" i="1"/>
  <c r="S37" i="1"/>
  <c r="S33" i="1"/>
  <c r="S32" i="1"/>
  <c r="S31" i="1"/>
  <c r="S30" i="1"/>
  <c r="W7" i="1"/>
  <c r="W128" i="1"/>
  <c r="W125" i="1"/>
  <c r="W118" i="1"/>
  <c r="W117" i="1"/>
  <c r="W116" i="1"/>
  <c r="W115" i="1"/>
  <c r="W114" i="1"/>
  <c r="W111" i="1"/>
  <c r="W110" i="1"/>
  <c r="W109" i="1"/>
  <c r="W108" i="1"/>
  <c r="W107" i="1"/>
  <c r="W106" i="1"/>
  <c r="W101" i="1"/>
  <c r="W100" i="1"/>
  <c r="W99" i="1"/>
  <c r="W97" i="1"/>
  <c r="W96" i="1"/>
  <c r="W94" i="1"/>
  <c r="W89" i="1"/>
  <c r="W88" i="1"/>
  <c r="W86" i="1"/>
  <c r="W71" i="1"/>
  <c r="W68" i="1"/>
  <c r="W65" i="1"/>
  <c r="W58" i="1"/>
  <c r="W57" i="1"/>
  <c r="W56" i="1"/>
  <c r="W54" i="1"/>
  <c r="W53" i="1"/>
  <c r="W50" i="1"/>
  <c r="W48" i="1"/>
  <c r="W47" i="1"/>
  <c r="W44" i="1"/>
  <c r="W42" i="1"/>
  <c r="W38" i="1"/>
  <c r="W37" i="1"/>
  <c r="W33" i="1"/>
  <c r="W32" i="1"/>
  <c r="W31" i="1"/>
  <c r="W30" i="1"/>
  <c r="W29" i="1"/>
  <c r="W26" i="1"/>
  <c r="W11" i="1"/>
  <c r="W10" i="1"/>
  <c r="W9" i="1"/>
  <c r="W8" i="1"/>
  <c r="V12" i="1"/>
  <c r="V35" i="1"/>
  <c r="V39" i="1"/>
  <c r="V51" i="1"/>
  <c r="V102" i="1"/>
  <c r="V112" i="1"/>
  <c r="V119" i="1"/>
  <c r="U119" i="1"/>
  <c r="U112" i="1"/>
  <c r="U102" i="1"/>
  <c r="U91" i="1"/>
  <c r="U72" i="1"/>
  <c r="U51" i="1"/>
  <c r="U39" i="1"/>
  <c r="U35" i="1"/>
  <c r="U12" i="1"/>
  <c r="P119" i="1"/>
  <c r="P112" i="1"/>
  <c r="P51" i="1"/>
  <c r="P39" i="1"/>
  <c r="J70" i="20" l="1"/>
  <c r="J74" i="20" s="1"/>
  <c r="J103" i="20" s="1"/>
  <c r="J104" i="20" s="1"/>
  <c r="U103" i="1"/>
  <c r="V61" i="1"/>
  <c r="U61" i="1"/>
  <c r="C9" i="35" s="1"/>
  <c r="S51" i="1"/>
  <c r="U14" i="1"/>
  <c r="S129" i="1"/>
  <c r="S119" i="1"/>
  <c r="W84" i="1"/>
  <c r="W51" i="1"/>
  <c r="S39" i="1"/>
  <c r="W39" i="1"/>
  <c r="W102" i="1"/>
  <c r="W12" i="1"/>
  <c r="S112" i="1"/>
  <c r="W112" i="1"/>
  <c r="W119" i="1"/>
  <c r="W60" i="1"/>
  <c r="W35" i="1"/>
  <c r="V120" i="1"/>
  <c r="V14" i="1"/>
  <c r="V134" i="1" s="1"/>
  <c r="U120" i="1"/>
  <c r="C11" i="35" s="1"/>
  <c r="P120" i="1"/>
  <c r="B11" i="35" s="1"/>
  <c r="C5" i="35" l="1"/>
  <c r="C12" i="35"/>
  <c r="U134" i="1"/>
  <c r="W134" i="1" s="1"/>
  <c r="W14" i="1"/>
  <c r="S120" i="1"/>
  <c r="W61" i="1"/>
  <c r="W120" i="1"/>
  <c r="C14" i="35" l="1"/>
  <c r="C24" i="35" s="1"/>
  <c r="J107" i="20"/>
  <c r="J108" i="20" s="1"/>
  <c r="F5" i="34" s="1"/>
  <c r="F7" i="34" s="1"/>
  <c r="F12" i="34" s="1"/>
  <c r="F14" i="34" l="1"/>
  <c r="J12" i="34"/>
  <c r="V72" i="1" l="1"/>
  <c r="W64" i="1"/>
  <c r="W72" i="1" l="1"/>
  <c r="P91" i="1" l="1"/>
  <c r="P99" i="1" s="1"/>
  <c r="R99" i="1" l="1"/>
  <c r="E70" i="20"/>
  <c r="S91" i="1"/>
  <c r="E71" i="20" l="1"/>
  <c r="R100" i="1" l="1"/>
  <c r="S100" i="1"/>
  <c r="V91" i="1"/>
  <c r="V103" i="1" l="1"/>
  <c r="K70" i="20"/>
  <c r="K74" i="20" s="1"/>
  <c r="L73" i="20"/>
  <c r="W91" i="1"/>
  <c r="L70" i="20" l="1"/>
  <c r="L74" i="20"/>
  <c r="K103" i="20" l="1"/>
  <c r="E9" i="20"/>
  <c r="E10" i="20"/>
  <c r="E11" i="20"/>
  <c r="E12" i="20"/>
  <c r="L103" i="20" l="1"/>
  <c r="K104" i="20"/>
  <c r="L104" i="20" s="1"/>
  <c r="K107" i="20"/>
  <c r="K108" i="20" s="1"/>
  <c r="L107" i="20" l="1"/>
  <c r="S10" i="1"/>
  <c r="F11" i="20"/>
  <c r="R10" i="1"/>
  <c r="S11" i="1"/>
  <c r="R11" i="1"/>
  <c r="F12" i="20"/>
  <c r="S8" i="1"/>
  <c r="F9" i="20"/>
  <c r="R8" i="1"/>
  <c r="S9" i="1"/>
  <c r="F10" i="20"/>
  <c r="R9" i="1"/>
  <c r="H9" i="20" l="1"/>
  <c r="G9" i="20"/>
  <c r="H12" i="20"/>
  <c r="G12" i="20"/>
  <c r="H11" i="20"/>
  <c r="G11" i="20"/>
  <c r="H10" i="20"/>
  <c r="G10" i="20"/>
  <c r="P35" i="1"/>
  <c r="E33" i="20"/>
  <c r="S29" i="1"/>
  <c r="F33" i="20"/>
  <c r="F39" i="20" s="1"/>
  <c r="Q35" i="1"/>
  <c r="R29" i="1"/>
  <c r="R35" i="1" s="1"/>
  <c r="R61" i="1" s="1"/>
  <c r="E39" i="20" l="1"/>
  <c r="E67" i="20" s="1"/>
  <c r="G33" i="20"/>
  <c r="G39" i="20" s="1"/>
  <c r="G67" i="20" s="1"/>
  <c r="S35" i="1"/>
  <c r="Q61" i="1"/>
  <c r="H33" i="20"/>
  <c r="F67" i="20"/>
  <c r="D9" i="35" l="1"/>
  <c r="H39" i="20"/>
  <c r="H67" i="20"/>
  <c r="S99" i="1" l="1"/>
  <c r="R102" i="1"/>
  <c r="P102" i="1"/>
  <c r="S102" i="1" l="1"/>
  <c r="U131" i="1" l="1"/>
  <c r="U132" i="1" s="1"/>
  <c r="U135" i="1" l="1"/>
  <c r="U136" i="1" s="1"/>
  <c r="V131" i="1" l="1"/>
  <c r="W131" i="1" s="1"/>
  <c r="W103" i="1"/>
  <c r="V135" i="1" l="1"/>
  <c r="W135" i="1" s="1"/>
  <c r="V132" i="1"/>
  <c r="V136" i="1" l="1"/>
  <c r="E6" i="21"/>
  <c r="E7" i="21" s="1"/>
  <c r="E11" i="21" s="1"/>
  <c r="E16" i="21" s="1"/>
  <c r="E18" i="21" l="1"/>
  <c r="E19" i="21" s="1"/>
  <c r="E34" i="21" l="1"/>
  <c r="E35" i="21" s="1"/>
  <c r="E37" i="21" s="1"/>
  <c r="E47" i="21"/>
  <c r="E50" i="21" s="1"/>
  <c r="E51" i="21" s="1"/>
  <c r="E38" i="21" l="1"/>
  <c r="E39" i="21" s="1"/>
  <c r="E61" i="21"/>
  <c r="E65" i="21" s="1"/>
  <c r="S60" i="1"/>
  <c r="P61" i="1"/>
  <c r="B9" i="35" l="1"/>
  <c r="S61" i="1"/>
  <c r="F16" i="20" l="1"/>
  <c r="H16" i="20" s="1"/>
  <c r="E16" i="20"/>
  <c r="F17" i="20" l="1"/>
  <c r="E17" i="20" l="1"/>
  <c r="G17" i="20"/>
  <c r="H17" i="20" l="1"/>
  <c r="G30" i="20" l="1"/>
  <c r="S26"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S64" i="1"/>
  <c r="R64" i="1"/>
  <c r="Q40" i="21"/>
  <c r="G70" i="20" l="1"/>
  <c r="R67" i="1"/>
  <c r="R66" i="1"/>
  <c r="S66" i="1"/>
  <c r="P72" i="1"/>
  <c r="P103" i="1" s="1"/>
  <c r="B10" i="35" s="1"/>
  <c r="Q61" i="21"/>
  <c r="Q62" i="21" s="1"/>
  <c r="Q63" i="21" s="1"/>
  <c r="H70" i="20"/>
  <c r="F73" i="20" l="1"/>
  <c r="F74" i="20" s="1"/>
  <c r="F103" i="20" s="1"/>
  <c r="F107" i="20" s="1"/>
  <c r="S67" i="1"/>
  <c r="C6" i="24"/>
  <c r="Q72" i="1"/>
  <c r="R68" i="1"/>
  <c r="R72" i="1" s="1"/>
  <c r="R103" i="1" s="1"/>
  <c r="R131" i="1" s="1"/>
  <c r="S68" i="1"/>
  <c r="Q103" i="1" l="1"/>
  <c r="D10" i="35" s="1"/>
  <c r="D12" i="35" s="1"/>
  <c r="G73" i="20"/>
  <c r="H73" i="20"/>
  <c r="G71" i="20"/>
  <c r="S72" i="1"/>
  <c r="E74" i="20"/>
  <c r="H74" i="20" s="1"/>
  <c r="H71" i="20"/>
  <c r="P131" i="1"/>
  <c r="B12" i="35"/>
  <c r="S103" i="1" l="1"/>
  <c r="Q131" i="1"/>
  <c r="Q135" i="1" s="1"/>
  <c r="E103" i="20"/>
  <c r="H103" i="20" s="1"/>
  <c r="G74" i="20"/>
  <c r="G103" i="20" s="1"/>
  <c r="P135" i="1"/>
  <c r="S131" i="1" l="1"/>
  <c r="E107" i="20"/>
  <c r="H107" i="20" s="1"/>
  <c r="G107" i="20"/>
  <c r="S135" i="1"/>
  <c r="R135" i="1"/>
  <c r="F8" i="20"/>
  <c r="F13" i="20" s="1"/>
  <c r="S7" i="1"/>
  <c r="Q12" i="1"/>
  <c r="Q14" i="1" s="1"/>
  <c r="D5" i="35" l="1"/>
  <c r="D14" i="35" s="1"/>
  <c r="D24" i="35" s="1"/>
  <c r="Q132" i="1"/>
  <c r="F18" i="20"/>
  <c r="R7" i="1"/>
  <c r="R12" i="1" s="1"/>
  <c r="R14" i="1" s="1"/>
  <c r="R132" i="1" s="1"/>
  <c r="E8" i="20"/>
  <c r="P12" i="1"/>
  <c r="Q134" i="1"/>
  <c r="H8" i="20" l="1"/>
  <c r="E13" i="20"/>
  <c r="G8" i="20"/>
  <c r="G13" i="20" s="1"/>
  <c r="G18" i="20" s="1"/>
  <c r="Q136" i="1"/>
  <c r="S12" i="1"/>
  <c r="P14" i="1"/>
  <c r="C26" i="1" s="1"/>
  <c r="F104" i="20"/>
  <c r="F106" i="20"/>
  <c r="E18" i="20" l="1"/>
  <c r="H13" i="20"/>
  <c r="F108" i="20"/>
  <c r="P132" i="1"/>
  <c r="S132" i="1" s="1"/>
  <c r="C30" i="20"/>
  <c r="B5" i="35"/>
  <c r="B14" i="35" s="1"/>
  <c r="B24" i="35" s="1"/>
  <c r="P134" i="1"/>
  <c r="S14" i="1"/>
  <c r="G106" i="20"/>
  <c r="G108" i="20" s="1"/>
  <c r="G104" i="20"/>
  <c r="P136" i="1" l="1"/>
  <c r="R134" i="1"/>
  <c r="S134" i="1"/>
  <c r="E106" i="20"/>
  <c r="E104" i="20"/>
  <c r="H104" i="20" s="1"/>
  <c r="H18" i="20"/>
  <c r="R136" i="1" l="1"/>
  <c r="H5" i="34"/>
  <c r="H7" i="34" s="1"/>
  <c r="S136" i="1"/>
  <c r="E108" i="20"/>
  <c r="H106" i="20"/>
  <c r="E12" i="39"/>
  <c r="E13" i="39" s="1"/>
  <c r="E20" i="39" l="1"/>
  <c r="E16" i="39"/>
  <c r="E22" i="39"/>
  <c r="E23" i="39" l="1"/>
  <c r="E31" i="39" s="1"/>
  <c r="E32" i="39" s="1"/>
</calcChain>
</file>

<file path=xl/comments1.xml><?xml version="1.0" encoding="utf-8"?>
<comments xmlns="http://schemas.openxmlformats.org/spreadsheetml/2006/main">
  <authors>
    <author>Dawn Jacobson</author>
  </authors>
  <commentList>
    <comment ref="C13" authorId="0">
      <text>
        <r>
          <rPr>
            <b/>
            <sz val="9"/>
            <color indexed="81"/>
            <rFont val="Tahoma"/>
            <family val="2"/>
          </rPr>
          <t>Dawn Jacobson:</t>
        </r>
        <r>
          <rPr>
            <sz val="9"/>
            <color indexed="81"/>
            <rFont val="Tahoma"/>
            <family val="2"/>
          </rPr>
          <t xml:space="preserve">
Misc Income is $ received for Space/Rent, Donations, Quilter's Donations, etc.</t>
        </r>
      </text>
    </comment>
    <comment ref="G65"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5.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6.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<sst xmlns="http://schemas.openxmlformats.org/spreadsheetml/2006/main" count="1187" uniqueCount="734">
  <si>
    <t>Income</t>
  </si>
  <si>
    <t>Envelope Giving</t>
  </si>
  <si>
    <t>Easter Offerings</t>
  </si>
  <si>
    <t>Thanksgiving Offerings</t>
  </si>
  <si>
    <t>Christmas Offerings</t>
  </si>
  <si>
    <t>Lenten Offerings</t>
  </si>
  <si>
    <t>Total Envelope Giving</t>
  </si>
  <si>
    <t>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</si>
  <si>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</si>
  <si>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</si>
  <si>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</si>
  <si>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</si>
  <si>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</si>
  <si>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</si>
  <si>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</si>
  <si>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</si>
  <si>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</si>
  <si>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</si>
  <si>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</si>
  <si>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</si>
  <si>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</si>
  <si>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</si>
  <si>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</si>
  <si>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</si>
  <si>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</si>
  <si>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</si>
  <si>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</si>
  <si>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</si>
  <si>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</si>
  <si>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</si>
  <si>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</si>
  <si>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</si>
  <si>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</si>
  <si>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</si>
  <si>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</si>
  <si>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</si>
  <si>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</si>
  <si>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</si>
  <si>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</si>
  <si>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</si>
  <si>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</si>
  <si>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</si>
  <si>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</si>
  <si>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</si>
  <si>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</si>
  <si>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</si>
  <si>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</si>
  <si>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</si>
  <si>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</si>
  <si>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</si>
  <si>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</si>
  <si>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</si>
  <si>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</si>
  <si>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</si>
  <si>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</si>
  <si>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</si>
  <si>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</si>
  <si>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</si>
  <si>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</si>
  <si>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</si>
  <si>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</si>
  <si>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</si>
  <si>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</si>
  <si>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</si>
  <si>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</si>
  <si>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</si>
  <si>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</si>
  <si>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</si>
  <si>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</si>
  <si>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</si>
  <si>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</si>
  <si>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</si>
  <si>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</si>
  <si>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</si>
  <si>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</si>
  <si>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</si>
  <si>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</si>
  <si>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</si>
  <si>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</si>
  <si>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</si>
  <si>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</si>
  <si>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</si>
  <si>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</si>
  <si>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</si>
  <si>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</si>
  <si>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</si>
  <si>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</si>
  <si>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</si>
  <si>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</si>
  <si>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</si>
  <si>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</si>
  <si>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</si>
  <si>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</si>
  <si>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</si>
  <si>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</si>
  <si>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</si>
  <si>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</si>
  <si>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</si>
  <si>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</si>
  <si>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</si>
  <si>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</si>
  <si>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</si>
  <si>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</si>
  <si>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</si>
  <si>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</si>
  <si>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</si>
  <si>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Projectionist</t>
  </si>
  <si>
    <t>Organ/Piano Maintenance</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</si>
  <si>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</si>
  <si>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</si>
  <si>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</si>
  <si>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</si>
  <si>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</si>
  <si>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</si>
  <si>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</si>
  <si>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</si>
  <si>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</si>
  <si>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</si>
  <si>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</si>
  <si>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</si>
  <si>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</si>
  <si>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</si>
  <si>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</si>
  <si>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</si>
  <si>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</si>
  <si>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</si>
  <si>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</si>
  <si>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Pension</t>
  </si>
  <si>
    <t>Other Insurance</t>
  </si>
  <si>
    <t>Retiree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</si>
  <si>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</si>
  <si>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</si>
  <si>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</si>
  <si>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</si>
  <si>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</si>
  <si>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</si>
  <si>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</si>
  <si>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</si>
  <si>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</si>
  <si>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</si>
  <si>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</si>
  <si>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</si>
  <si>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</si>
  <si>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</si>
  <si>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</si>
  <si>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</si>
  <si>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</si>
  <si>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</si>
  <si>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</si>
  <si>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</si>
  <si>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</si>
  <si>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</si>
  <si>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</si>
  <si>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</si>
  <si>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</si>
  <si>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</si>
  <si>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</si>
  <si>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</si>
  <si>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</si>
  <si>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</si>
  <si>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</si>
  <si>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</si>
  <si>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</si>
  <si>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</si>
  <si>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</si>
  <si>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</si>
  <si>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</si>
  <si>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</si>
  <si>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</si>
  <si>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Start Jan. 16, 2018</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</si>
  <si>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</si>
  <si>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</si>
  <si>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</si>
  <si>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</si>
  <si>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</si>
  <si>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</si>
  <si>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</si>
  <si>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</si>
  <si>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</si>
  <si>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</si>
  <si>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</si>
  <si>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</si>
  <si>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</si>
  <si>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</si>
  <si>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</si>
  <si>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</si>
  <si>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</si>
  <si>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</si>
  <si>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</si>
  <si>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</si>
  <si>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</si>
  <si>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</si>
  <si>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</si>
  <si>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</si>
  <si>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</si>
  <si>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</si>
  <si>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</si>
  <si>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</si>
  <si>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</si>
  <si>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</si>
  <si>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</si>
  <si>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</si>
  <si>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</si>
  <si>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</si>
  <si>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</si>
  <si>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</si>
  <si>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</si>
  <si>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</si>
  <si>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</si>
  <si>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</si>
  <si>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</si>
  <si>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</si>
  <si>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</si>
  <si>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</si>
  <si>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None Salary Positions:</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</si>
  <si>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</si>
  <si>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</si>
  <si>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</si>
  <si>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</si>
  <si>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</si>
  <si>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</si>
  <si>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</si>
  <si>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</si>
  <si>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</si>
  <si>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</si>
  <si>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</si>
  <si>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</si>
  <si>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</si>
  <si>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</si>
  <si>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</si>
  <si>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</si>
  <si>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Assoc. Pastor</t>
  </si>
  <si>
    <t>Total Assoc. Pastor</t>
  </si>
  <si>
    <t>FICA Tax</t>
  </si>
  <si>
    <t>FICA Tax:  7.65%</t>
  </si>
  <si>
    <t>Health Care</t>
  </si>
  <si>
    <t>Retiree Support</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</si>
  <si>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</si>
  <si>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</si>
  <si>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</si>
  <si>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</si>
  <si>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</si>
  <si>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</si>
  <si>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</si>
  <si>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</si>
  <si>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</si>
  <si>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</si>
  <si>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Consistent Staff:</t>
  </si>
  <si>
    <t>Changing Staff:</t>
  </si>
  <si>
    <t>All costs *</t>
  </si>
  <si>
    <t>Office Administrator</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</si>
  <si>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</si>
  <si>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</si>
  <si>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</si>
  <si>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</si>
  <si>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</si>
  <si>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</si>
  <si>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</si>
  <si>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</si>
  <si>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</si>
  <si>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</si>
  <si>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</si>
  <si>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</si>
  <si>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</si>
  <si>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</si>
  <si>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</si>
  <si>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</si>
  <si>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</si>
  <si>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</si>
  <si>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</si>
  <si>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</si>
  <si>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</si>
  <si>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</si>
  <si>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</si>
  <si>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</si>
  <si>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</si>
  <si>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</si>
  <si>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</si>
  <si>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</si>
  <si>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</si>
  <si>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</si>
  <si>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</si>
  <si>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</si>
  <si>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</si>
  <si>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</si>
  <si>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</si>
  <si>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</si>
  <si>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</si>
  <si>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</si>
  <si>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</si>
  <si>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</si>
  <si>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</si>
  <si>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</si>
  <si>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</si>
  <si>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</si>
  <si>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</si>
  <si>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</si>
  <si>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</si>
  <si>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</si>
  <si>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</si>
  <si>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</si>
  <si>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</si>
  <si>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</si>
  <si>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</si>
  <si>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</si>
  <si>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</si>
  <si>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</si>
  <si>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</si>
  <si>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</si>
  <si>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</si>
  <si>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</si>
  <si>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</si>
  <si>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</si>
  <si>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</si>
  <si>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</si>
  <si>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</si>
  <si>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</si>
  <si>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</si>
  <si>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</si>
  <si>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</si>
  <si>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</si>
  <si>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</si>
  <si>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</si>
  <si>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</si>
  <si>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</si>
  <si>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</si>
  <si>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</si>
  <si>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</si>
  <si>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</si>
  <si>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</si>
  <si>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</si>
  <si>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</si>
  <si>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</si>
  <si>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</si>
  <si>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</si>
  <si>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</si>
  <si>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</si>
  <si>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</si>
  <si>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</si>
  <si>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</si>
  <si>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</si>
  <si>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</si>
  <si>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</si>
  <si>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</si>
  <si>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</si>
  <si>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</si>
  <si>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</si>
  <si>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</si>
  <si>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</si>
  <si>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</si>
  <si>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</si>
  <si>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</si>
  <si>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</si>
  <si>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</si>
  <si>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</si>
  <si>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</si>
  <si>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</si>
  <si>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</si>
  <si>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</si>
  <si>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</si>
  <si>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</si>
  <si>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</si>
  <si>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</si>
  <si>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</si>
  <si>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</si>
  <si>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</si>
  <si>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</si>
  <si>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</si>
  <si>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</si>
  <si>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</si>
  <si>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</si>
  <si>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</si>
  <si>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</si>
  <si>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</si>
  <si>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</si>
  <si>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</si>
  <si>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</si>
  <si>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</si>
  <si>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</si>
  <si>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</si>
  <si>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</si>
  <si>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Church &amp; Community Outreach</t>
  </si>
  <si>
    <t xml:space="preserve">     Conf.  Synold Assembly is incl under</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</si>
  <si>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</si>
  <si>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</si>
  <si>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</si>
  <si>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</si>
  <si>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</si>
  <si>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</si>
  <si>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</si>
  <si>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</si>
  <si>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</si>
  <si>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</si>
  <si>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</si>
  <si>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</si>
  <si>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</si>
  <si>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</si>
  <si>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</si>
  <si>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</si>
  <si>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</si>
  <si>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</si>
  <si>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</si>
  <si>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</si>
  <si>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SOUND/LIVE STREAMING SUPPORT:</t>
  </si>
  <si>
    <t>Portion of Medical/Vision/Dental Elected to go into Salary                                        (includes gross up starting in 2020)</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</si>
  <si>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</si>
  <si>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</si>
  <si>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</si>
  <si>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</si>
  <si>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</si>
  <si>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</si>
  <si>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</si>
  <si>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</si>
  <si>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</si>
  <si>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</si>
  <si>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</si>
  <si>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</si>
  <si>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</si>
  <si>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</si>
  <si>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</si>
  <si>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</si>
  <si>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</si>
  <si>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</si>
  <si>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</si>
  <si>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</si>
  <si>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</si>
  <si>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</si>
  <si>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</si>
  <si>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</si>
  <si>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</si>
  <si>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</si>
  <si>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</si>
  <si>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Budget is 2.6% increase plus 1/2 of the 
difference to get to ELCA Guidelines</t>
  </si>
  <si>
    <t>Operating Income</t>
  </si>
  <si>
    <t>Custodian - Glenn Napier (20 hrs/week)</t>
  </si>
  <si>
    <t>Custodian - Added Support (15 hrs/week)</t>
  </si>
  <si>
    <t xml:space="preserve">    Pay per Service (per person)</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</si>
  <si>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</si>
  <si>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</si>
  <si>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</si>
  <si>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</si>
  <si>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</si>
  <si>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</si>
  <si>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</si>
  <si>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</si>
  <si>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</si>
  <si>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</si>
  <si>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</si>
  <si>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</si>
  <si>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</si>
  <si>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</si>
  <si>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</si>
  <si>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</si>
  <si>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</si>
  <si>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</si>
  <si>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</si>
  <si>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</si>
  <si>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</si>
  <si>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</si>
  <si>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</si>
  <si>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</si>
  <si>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</si>
  <si>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</si>
  <si>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</si>
  <si>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</si>
  <si>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</si>
  <si>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Landscaping Maint.</t>
  </si>
  <si>
    <t>Nature Preserve</t>
  </si>
  <si>
    <t>Total Dedicated Funds</t>
  </si>
  <si>
    <t>Memorials</t>
  </si>
  <si>
    <t>Facilities Reserve</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</si>
  <si>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</si>
  <si>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</si>
  <si>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</si>
  <si>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</si>
  <si>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</si>
  <si>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</si>
  <si>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</si>
  <si>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</si>
  <si>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</si>
  <si>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</si>
  <si>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</si>
  <si>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</si>
  <si>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</si>
  <si>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</si>
  <si>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</si>
  <si>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</si>
  <si>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</si>
  <si>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</si>
  <si>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</si>
  <si>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2023 Budget</t>
  </si>
  <si>
    <t>1/16/18-7/30/22</t>
  </si>
  <si>
    <t>All band members get $60/Sunday</t>
  </si>
  <si>
    <t>Other Musicians</t>
  </si>
  <si>
    <t xml:space="preserve">     Number of Flutists</t>
  </si>
  <si>
    <t>Total Flutist</t>
  </si>
  <si>
    <t>Pay per month (excludes 3 months for summer)</t>
  </si>
  <si>
    <t>Excludes 3 months for summer</t>
  </si>
  <si>
    <t>Total Hand Bell Choir</t>
  </si>
  <si>
    <t>Total Other Musicians</t>
  </si>
  <si>
    <t>REVELATION BAND:</t>
  </si>
  <si>
    <t>OTHER MUSICIANS:</t>
  </si>
  <si>
    <t>FLUTIST:</t>
  </si>
  <si>
    <t>HAND BELL CHOIR - Jim Sodkey:</t>
  </si>
  <si>
    <t>Nov/Dec 2022 Insurance Chg</t>
  </si>
  <si>
    <t>Full Year 2022</t>
  </si>
  <si>
    <t>Purchase Gold * (David and Pastor Kelly)</t>
  </si>
  <si>
    <t>Portion of Medical/Vision/Dental Elected to go into Salary (includes gross up) = $200/month</t>
  </si>
  <si>
    <t>Continuing Ed</t>
  </si>
  <si>
    <t>Beginning Balance</t>
  </si>
  <si>
    <t>Consultant - Visioning/Call Process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</si>
  <si>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</si>
  <si>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</si>
  <si>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Full Year 2023 with Insurance and no raise</t>
  </si>
  <si>
    <t>2023 Budget:  Added Consultant and P/T Youth Staff less Lead Pastor Position</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</si>
  <si>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</si>
  <si>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</si>
  <si>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</si>
  <si>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</si>
  <si>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</si>
  <si>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</si>
  <si>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</si>
  <si>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</si>
  <si>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</si>
  <si>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</si>
  <si>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Good Samaritan</t>
  </si>
  <si>
    <t>Racine Interfaith Coalition</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</si>
  <si>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</si>
  <si>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</si>
  <si>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</si>
  <si>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</si>
  <si>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</si>
  <si>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</si>
  <si>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</si>
  <si>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</si>
  <si>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</si>
  <si>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</si>
  <si>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</si>
  <si>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</si>
  <si>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</si>
  <si>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</si>
  <si>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</si>
  <si>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</si>
  <si>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</si>
  <si>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</si>
  <si>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</si>
  <si>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</si>
  <si>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</si>
  <si>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</si>
  <si>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</si>
  <si>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</si>
  <si>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</si>
  <si>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</si>
  <si>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</si>
  <si>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</si>
  <si>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</si>
  <si>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</si>
  <si>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</si>
  <si>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</si>
  <si>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</si>
  <si>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</si>
  <si>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</si>
  <si>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</si>
  <si>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</si>
  <si>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</si>
  <si>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</si>
  <si>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</si>
  <si>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</si>
  <si>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</si>
  <si>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</si>
  <si>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</si>
  <si>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</si>
  <si>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</si>
  <si>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Dec 1-Dec 24, 2024</t>
  </si>
  <si>
    <t>Feb 14 - March 30, 2024</t>
  </si>
  <si>
    <t>Christmas is on Wednesday</t>
  </si>
  <si>
    <t>Memorial Day May 27 - Labor Day Sept 2, 2024</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</si>
  <si>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</si>
  <si>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</si>
  <si>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</si>
  <si>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</si>
  <si>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</si>
  <si>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</si>
  <si>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</si>
  <si>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</si>
  <si>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</si>
  <si>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</si>
  <si>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</si>
  <si>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</si>
  <si>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</si>
  <si>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</si>
  <si>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</si>
  <si>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</si>
  <si>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</si>
  <si>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</si>
  <si>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</si>
  <si>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</si>
  <si>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</si>
  <si>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</si>
  <si>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 xml:space="preserve">   11 years would be $74,671 or</t>
  </si>
  <si>
    <t>Tony Baumgardt - LCR Council President</t>
  </si>
  <si>
    <t>Dawn Jacobson - Council Treasurer and Finance Committee Chair</t>
  </si>
  <si>
    <t>SECA Ch Portion (FICA Tax:  7.65%)</t>
  </si>
  <si>
    <t>Sr. Pastor Healthcare Premium</t>
  </si>
  <si>
    <t>Start 9/9/2023</t>
  </si>
  <si>
    <t>Total  Sound</t>
  </si>
  <si>
    <t>Technology</t>
  </si>
  <si>
    <t>2023 Actual:   include the interm pastor (Pastor Paul)</t>
  </si>
  <si>
    <t>Monthly</t>
  </si>
  <si>
    <t>ShareFaith website Hosting</t>
  </si>
  <si>
    <t>Recurring: Operating Budget</t>
  </si>
  <si>
    <t>Was in</t>
  </si>
  <si>
    <t>Office Equip</t>
  </si>
  <si>
    <t>Technology Budget 2024</t>
  </si>
  <si>
    <t>Internet Service</t>
  </si>
  <si>
    <t>Adobe Acrobat Subscription</t>
  </si>
  <si>
    <t>Don't pay for this per Cheryl</t>
  </si>
  <si>
    <t>In-House Technology Support (Anton)</t>
  </si>
  <si>
    <t>Out-Trend Micro Subscription</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</si>
  <si>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</si>
  <si>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</si>
  <si>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</si>
  <si>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</si>
  <si>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</si>
  <si>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</si>
  <si>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</si>
  <si>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</si>
  <si>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</si>
  <si>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</si>
  <si>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</si>
  <si>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</si>
  <si>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</si>
  <si>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</si>
  <si>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</si>
  <si>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Total Dedicated Fund</t>
  </si>
  <si>
    <t>Tele-conference Equipment</t>
  </si>
  <si>
    <t>2023 Year End Overage Proposal</t>
  </si>
  <si>
    <t>Technology Dedicated Fund</t>
  </si>
  <si>
    <t>RIC Dedicated Fund</t>
  </si>
  <si>
    <t>Estimated Overage</t>
  </si>
  <si>
    <t>To get us to 6% of estimated income</t>
  </si>
  <si>
    <t>To get us to 8% of estimated income</t>
  </si>
  <si>
    <t>To get us to 10% of estimate income</t>
  </si>
  <si>
    <t>Remaining to Facilities Reserve</t>
  </si>
  <si>
    <t>Envelope Giving (general)</t>
  </si>
  <si>
    <t>ELCA Outreach Center</t>
  </si>
  <si>
    <t>Recommendation from John A.</t>
  </si>
  <si>
    <t>Seeing an increase.  Will need to review all this</t>
  </si>
  <si>
    <t>Budget:  6 sundays includes mileage
Actuals:  high as we had no pastor for 9 or so months</t>
  </si>
  <si>
    <t>B&amp;G:  Decorating Fund</t>
  </si>
  <si>
    <t>Moved $3.3k to Tech budget.  Added $500</t>
  </si>
  <si>
    <t>Needed training</t>
  </si>
  <si>
    <t>NEW:  $3.5k from Office Equip and $3.3k from Telephone (incremental is $2.7k)</t>
  </si>
  <si>
    <t>Budget:  $500 Christmas Party, $200 Council exit Gifts.
2023 Actual:  $ for P Kelly party, Council member rolling off gift, some visioning food</t>
  </si>
  <si>
    <t>Some pledged/est for 2024</t>
  </si>
  <si>
    <t>Pay Benevolence Quarterly</t>
  </si>
  <si>
    <t>$125 for Racine Interfaith Coalition advertisement</t>
  </si>
  <si>
    <t xml:space="preserve">Budget:  Decreased per P. John's Recommendation $200 is for John A. </t>
  </si>
  <si>
    <t>Budget:  Added per P. John</t>
  </si>
  <si>
    <t>Budget:  Per Mary Hauch</t>
  </si>
  <si>
    <t>Budget:  Same per Jeff Wunderle</t>
  </si>
  <si>
    <t>Budget:  Significant increase in attendees, materials, handouts, etc</t>
  </si>
  <si>
    <t>Jim S ususally gets these tuned closer to Christmas</t>
  </si>
  <si>
    <t>Misc. Income</t>
  </si>
  <si>
    <t>Budget:  9 months including substitutes, 1 sound person</t>
  </si>
  <si>
    <t>Includes Summer (musicians, sound, set up/take down) Flutist, Bell Choir lead</t>
  </si>
  <si>
    <t>Actual:  $81 from Jan 2023 P. Kelly?</t>
  </si>
  <si>
    <t>External audit of the financials</t>
  </si>
  <si>
    <t>Budget:  $3.5k moved to Techology, added $1,315 for usage and increases
Actual:  John's Computer purchase, higher licenses &amp; usage</t>
  </si>
  <si>
    <t>MOVE</t>
  </si>
  <si>
    <t>Move into Associated Pastor</t>
  </si>
  <si>
    <t>Notes</t>
  </si>
  <si>
    <t>Expense was for parking lot</t>
  </si>
  <si>
    <t>Restricted Estate Fund</t>
  </si>
  <si>
    <t>Specifc Family Requests</t>
  </si>
  <si>
    <t>Visioning Priority Fund</t>
  </si>
  <si>
    <t>Only $19,579.30 is Undesignated</t>
  </si>
  <si>
    <t>to</t>
  </si>
  <si>
    <t>Increase</t>
  </si>
  <si>
    <t>Living Faith Meal (Racine Cluster)</t>
  </si>
  <si>
    <t>See detail</t>
  </si>
  <si>
    <t>Storage Room Upgrade</t>
  </si>
  <si>
    <t>What ever is remaining will go to Facilities Reserve</t>
  </si>
  <si>
    <t>Proposed</t>
  </si>
  <si>
    <t>Total Proposed Increase Benevolence</t>
  </si>
  <si>
    <t>ATT Office@Hand Telephone Service</t>
  </si>
  <si>
    <t>2nd Camera - provides more interesting viewing, easier operation, and options (still only one person required)</t>
  </si>
  <si>
    <t>Easier usage and better quality - Family room?</t>
  </si>
  <si>
    <t>Network Technician to document</t>
  </si>
  <si>
    <t>Any extra will go into Facilities Reserve</t>
  </si>
  <si>
    <t>December 2023 YTD Actual</t>
  </si>
  <si>
    <t>December 2023 YTD Budget</t>
  </si>
  <si>
    <t>2023 Actual</t>
  </si>
  <si>
    <t>2024 Proposed Budget</t>
  </si>
  <si>
    <t>Pay Rates for 2024</t>
  </si>
  <si>
    <t>2024 Actual Pay</t>
  </si>
  <si>
    <t>Housing:</t>
  </si>
  <si>
    <t>Mortgage Interest</t>
  </si>
  <si>
    <t>Property Tax</t>
  </si>
  <si>
    <t>Gas $300/month</t>
  </si>
  <si>
    <t>Water $400/2 months</t>
  </si>
  <si>
    <t>Yard Maintenance</t>
  </si>
  <si>
    <t>Contract</t>
  </si>
  <si>
    <t>Bi Weekly Premiums for 2024</t>
  </si>
  <si>
    <t>Family</t>
  </si>
  <si>
    <t xml:space="preserve">  $120,000 Preferred Plan</t>
  </si>
  <si>
    <t>Single + Children</t>
  </si>
  <si>
    <t>Difference</t>
  </si>
  <si>
    <t xml:space="preserve">  Gross up by 15% per contract</t>
  </si>
  <si>
    <t>Zillo Rent Estimate</t>
  </si>
  <si>
    <t xml:space="preserve">  Annual</t>
  </si>
  <si>
    <t xml:space="preserve">  $120,000 Select Plan</t>
  </si>
  <si>
    <t>Insurance Premium</t>
  </si>
  <si>
    <t>Council that under the tax laws an ordained minister of the Gospel is not subject to</t>
  </si>
  <si>
    <t>* The amount actually used to provide a home</t>
  </si>
  <si>
    <t>* The amount officially designate as a rental allowance or</t>
  </si>
  <si>
    <t>* The fair rental value of the home, including furnishings, utilities, garage, etc.</t>
  </si>
  <si>
    <t xml:space="preserve">to the extent used to rent or provide a home.  Per Publication 517, where the Pastor </t>
  </si>
  <si>
    <t>compensation as a housing allowance for the amount expected to be spent to provide</t>
  </si>
  <si>
    <t>Income Tax Law and the establishment of salary level, voted to adopt the following</t>
  </si>
  <si>
    <t>resolution:</t>
  </si>
  <si>
    <t>The Executive Council, after considering the above request, designates an amount of</t>
  </si>
  <si>
    <t>for the year 2024.</t>
  </si>
  <si>
    <t>________________________________________________________</t>
  </si>
  <si>
    <t xml:space="preserve">The Lutheran Church of the Resurrection Finance Committee advises the Executive </t>
  </si>
  <si>
    <t>2024 Housing Allowance for Pastor John Anderson</t>
  </si>
  <si>
    <t>Federal Income Tax with respect to the housing allowance paid as part of compensation</t>
  </si>
  <si>
    <t xml:space="preserve">a home during the period of January to December 2024 and in light of the Federal </t>
  </si>
  <si>
    <t>(Tony Baumgardt, Council President)</t>
  </si>
  <si>
    <t>Rounded to highest $100</t>
  </si>
  <si>
    <t>Home owners Ins. &amp; Mortgage Ins.</t>
  </si>
  <si>
    <t>owns a home, this amount is the smallest of:</t>
  </si>
  <si>
    <t>2024 ELCA
 Guidelines</t>
  </si>
  <si>
    <t>Pastor John Anderson is to receive a housing allowance of $21,200</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</si>
</sst>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quot;$&quot;#,##0.000_);\(&quot;$&quot;#,##0.000\)"/>
    <numFmt numFmtId="172" formatCode="&quot;$&quot;#,##0.00000_);\(&quot;$&quot;#,##0.00000\)"/>
    <numFmt numFmtId="173" formatCode="&quot;$&quot;#,##0.00"/>
    <numFmt numFmtId="174" formatCode="&quot;$&quot;#,##0"/>
    <numFmt numFmtId="175" formatCode="_(&quot;$&quot;* #,##0.0_);_(&quot;$&quot;* \(#,##0.0\);_(&quot;$&quot;*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u/>
      <sz val="11"/>
      <color theme="1"/>
      <name val="Calibri"/>
      <family val="2"/>
      <scheme val="minor"/>
    </font>
    <font>
      <u/>
      <sz val="11"/>
      <color theme="1"/>
      <name val="Calibri"/>
      <family val="2"/>
      <scheme val="minor"/>
    </font>
    <font>
      <u/>
      <sz val="11"/>
      <name val="Calibri"/>
      <family val="2"/>
      <scheme val="minor"/>
    </font>
    <font>
      <b/>
      <sz val="18"/>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69">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44" fontId="0" fillId="0" borderId="0" xfId="1" applyNumberFormat="1" applyFont="1" applyFill="1" applyAlignment="1">
      <alignment vertical="center"/>
    </xf>
    <xf numFmtId="164" fontId="0" fillId="0" borderId="0" xfId="1" applyNumberFormat="1" applyFont="1" applyAlignment="1">
      <alignment vertical="center" wrapText="1"/>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5" fontId="6" fillId="0" borderId="33" xfId="2" applyNumberFormat="1" applyFont="1" applyFill="1" applyBorder="1" applyAlignment="1">
      <alignment vertical="center"/>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4" xfId="0" applyBorder="1" applyAlignment="1">
      <alignment vertical="center"/>
    </xf>
    <xf numFmtId="0" fontId="0" fillId="0" borderId="0"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 fillId="11" borderId="49"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5" xfId="0" quotePrefix="1" applyFill="1" applyBorder="1" applyAlignment="1">
      <alignment vertical="center"/>
    </xf>
    <xf numFmtId="0" fontId="0" fillId="0" borderId="56" xfId="0" applyBorder="1" applyAlignment="1">
      <alignment vertical="center"/>
    </xf>
    <xf numFmtId="0" fontId="0" fillId="0" borderId="44" xfId="0" applyFill="1" applyBorder="1" applyAlignment="1">
      <alignment vertical="center"/>
    </xf>
    <xf numFmtId="0" fontId="0" fillId="0" borderId="42" xfId="0" applyFill="1" applyBorder="1" applyAlignment="1">
      <alignment vertical="center"/>
    </xf>
    <xf numFmtId="0" fontId="2" fillId="0" borderId="59" xfId="0" applyFont="1" applyFill="1" applyBorder="1" applyAlignment="1">
      <alignment vertical="center"/>
    </xf>
    <xf numFmtId="0" fontId="0" fillId="0" borderId="62" xfId="0" applyBorder="1" applyAlignment="1">
      <alignment vertical="center"/>
    </xf>
    <xf numFmtId="0" fontId="14" fillId="0" borderId="0"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33" xfId="0" applyBorder="1" applyAlignment="1">
      <alignment vertical="center"/>
    </xf>
    <xf numFmtId="0" fontId="0" fillId="0" borderId="69" xfId="0" applyBorder="1" applyAlignment="1">
      <alignment vertical="center"/>
    </xf>
    <xf numFmtId="0" fontId="19" fillId="0" borderId="0" xfId="0" applyFont="1" applyAlignment="1">
      <alignment vertical="center"/>
    </xf>
    <xf numFmtId="0" fontId="2" fillId="0" borderId="6" xfId="0" applyFont="1" applyFill="1" applyBorder="1" applyAlignment="1">
      <alignment vertical="center"/>
    </xf>
    <xf numFmtId="0" fontId="0" fillId="0" borderId="41" xfId="0" applyFill="1" applyBorder="1" applyAlignment="1">
      <alignment vertical="center"/>
    </xf>
    <xf numFmtId="0" fontId="2" fillId="0" borderId="60"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1" xfId="0"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5" xfId="0" applyFont="1" applyFill="1" applyBorder="1" applyAlignment="1">
      <alignment vertical="center"/>
    </xf>
    <xf numFmtId="0" fontId="20" fillId="11" borderId="76" xfId="0" applyFont="1" applyFill="1" applyBorder="1" applyAlignment="1">
      <alignment vertical="center"/>
    </xf>
    <xf numFmtId="0" fontId="20" fillId="11" borderId="77" xfId="0" applyFont="1" applyFill="1" applyBorder="1" applyAlignment="1">
      <alignment vertical="center"/>
    </xf>
    <xf numFmtId="0" fontId="20" fillId="0" borderId="43" xfId="0" applyFont="1" applyBorder="1" applyAlignment="1">
      <alignment vertical="center"/>
    </xf>
    <xf numFmtId="0" fontId="20" fillId="0" borderId="78"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2" fillId="11" borderId="75" xfId="0" applyFont="1" applyFill="1" applyBorder="1" applyAlignment="1">
      <alignment vertical="center"/>
    </xf>
    <xf numFmtId="0" fontId="23" fillId="11" borderId="77" xfId="0" applyFont="1" applyFill="1" applyBorder="1" applyAlignment="1">
      <alignment horizontal="center" vertical="center" wrapText="1"/>
    </xf>
    <xf numFmtId="0" fontId="23" fillId="0" borderId="75" xfId="0" applyFont="1" applyFill="1" applyBorder="1" applyAlignment="1">
      <alignment vertical="center"/>
    </xf>
    <xf numFmtId="0" fontId="20" fillId="11" borderId="76"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5" fontId="6" fillId="11" borderId="29" xfId="0" applyNumberFormat="1" applyFont="1" applyFill="1" applyBorder="1" applyAlignment="1">
      <alignment vertical="center"/>
    </xf>
    <xf numFmtId="5" fontId="26" fillId="0" borderId="76"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79" xfId="0" applyBorder="1" applyAlignment="1">
      <alignment vertical="center"/>
    </xf>
    <xf numFmtId="7" fontId="0" fillId="0" borderId="0" xfId="0" applyNumberFormat="1" applyAlignment="1">
      <alignment vertical="center"/>
    </xf>
    <xf numFmtId="5" fontId="7" fillId="0" borderId="55" xfId="1" applyNumberFormat="1" applyFont="1" applyFill="1" applyBorder="1" applyAlignment="1">
      <alignment vertical="center"/>
    </xf>
    <xf numFmtId="0" fontId="0" fillId="0" borderId="49"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49" xfId="0" applyFont="1" applyFill="1" applyBorder="1" applyAlignment="1">
      <alignment horizontal="center" vertical="center"/>
    </xf>
    <xf numFmtId="0" fontId="6" fillId="0" borderId="55"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5"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3" xfId="1" applyNumberFormat="1" applyFont="1" applyFill="1" applyBorder="1" applyAlignment="1">
      <alignment vertical="center"/>
    </xf>
    <xf numFmtId="5" fontId="2" fillId="0" borderId="52" xfId="1" applyNumberFormat="1" applyFont="1" applyFill="1" applyBorder="1" applyAlignment="1">
      <alignment horizontal="center" vertical="center"/>
    </xf>
    <xf numFmtId="5" fontId="7" fillId="0" borderId="49" xfId="1" applyNumberFormat="1" applyFont="1" applyFill="1" applyBorder="1" applyAlignment="1">
      <alignment horizontal="center" vertical="center"/>
    </xf>
    <xf numFmtId="0" fontId="0" fillId="0" borderId="50" xfId="0" applyFill="1" applyBorder="1" applyAlignment="1">
      <alignment vertical="center"/>
    </xf>
    <xf numFmtId="0" fontId="0" fillId="0" borderId="57" xfId="0" applyFill="1" applyBorder="1" applyAlignment="1">
      <alignment vertical="center"/>
    </xf>
    <xf numFmtId="5" fontId="7" fillId="0" borderId="57" xfId="1" applyNumberFormat="1" applyFont="1" applyFill="1" applyBorder="1" applyAlignment="1">
      <alignment vertical="center"/>
    </xf>
    <xf numFmtId="5" fontId="7" fillId="0" borderId="49" xfId="1" applyNumberFormat="1" applyFont="1" applyFill="1" applyBorder="1" applyAlignment="1">
      <alignment vertical="center"/>
    </xf>
    <xf numFmtId="0" fontId="0" fillId="0" borderId="58"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1" xfId="0" applyFont="1" applyFill="1" applyBorder="1" applyAlignment="1">
      <alignment vertical="center"/>
    </xf>
    <xf numFmtId="0" fontId="2" fillId="0" borderId="49" xfId="0" applyFont="1" applyFill="1" applyBorder="1" applyAlignment="1">
      <alignment vertical="center"/>
    </xf>
    <xf numFmtId="0" fontId="2" fillId="0" borderId="57" xfId="0" applyFont="1" applyFill="1" applyBorder="1" applyAlignment="1">
      <alignment vertical="center"/>
    </xf>
    <xf numFmtId="0" fontId="2" fillId="0" borderId="8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0" fillId="0" borderId="86" xfId="0" applyBorder="1" applyAlignment="1">
      <alignment vertical="center"/>
    </xf>
    <xf numFmtId="0" fontId="0" fillId="0" borderId="82" xfId="0" applyBorder="1" applyAlignment="1">
      <alignment vertical="center"/>
    </xf>
    <xf numFmtId="0" fontId="14" fillId="0" borderId="83" xfId="0" applyFont="1" applyBorder="1" applyAlignment="1">
      <alignment horizontal="center" vertical="center"/>
    </xf>
    <xf numFmtId="0" fontId="14" fillId="0" borderId="86" xfId="0" applyFont="1" applyBorder="1" applyAlignment="1">
      <alignment horizontal="center" vertical="center"/>
    </xf>
    <xf numFmtId="0" fontId="6" fillId="0" borderId="86" xfId="0" applyFont="1" applyBorder="1" applyAlignment="1">
      <alignment horizontal="center" vertical="center"/>
    </xf>
    <xf numFmtId="0" fontId="14" fillId="0" borderId="82" xfId="0" applyFont="1" applyBorder="1" applyAlignment="1">
      <alignment horizontal="center" vertical="center"/>
    </xf>
    <xf numFmtId="0" fontId="6" fillId="0" borderId="87" xfId="0" applyFont="1" applyBorder="1" applyAlignment="1">
      <alignment horizontal="center" vertical="center"/>
    </xf>
    <xf numFmtId="0" fontId="14" fillId="0" borderId="88" xfId="0" applyFont="1" applyBorder="1" applyAlignment="1">
      <alignment horizontal="center" vertical="center"/>
    </xf>
    <xf numFmtId="0" fontId="6" fillId="0" borderId="82" xfId="0" applyFont="1" applyBorder="1" applyAlignment="1">
      <alignment horizontal="center" vertical="center"/>
    </xf>
    <xf numFmtId="0" fontId="0" fillId="0" borderId="87" xfId="0" applyBorder="1" applyAlignment="1">
      <alignment horizontal="center" vertical="center"/>
    </xf>
    <xf numFmtId="5" fontId="14" fillId="0" borderId="82" xfId="1" applyNumberFormat="1" applyFont="1" applyBorder="1" applyAlignment="1">
      <alignment horizontal="center" vertical="center"/>
    </xf>
    <xf numFmtId="5" fontId="14" fillId="0" borderId="87" xfId="1" applyNumberFormat="1" applyFont="1" applyBorder="1" applyAlignment="1">
      <alignment horizontal="center" vertical="center"/>
    </xf>
    <xf numFmtId="5" fontId="6" fillId="0" borderId="88" xfId="1" applyNumberFormat="1" applyFont="1" applyBorder="1" applyAlignment="1">
      <alignment horizontal="center" vertical="center"/>
    </xf>
    <xf numFmtId="5" fontId="6" fillId="0" borderId="82" xfId="1" applyNumberFormat="1" applyFont="1" applyBorder="1" applyAlignment="1">
      <alignment horizontal="center" vertical="center"/>
    </xf>
    <xf numFmtId="5" fontId="7" fillId="0" borderId="85" xfId="1" applyNumberFormat="1" applyFont="1" applyFill="1" applyBorder="1" applyAlignment="1">
      <alignment horizontal="center" vertical="center"/>
    </xf>
    <xf numFmtId="5" fontId="7" fillId="11" borderId="85" xfId="1" applyNumberFormat="1" applyFont="1" applyFill="1" applyBorder="1" applyAlignment="1">
      <alignment horizontal="center" vertical="center"/>
    </xf>
    <xf numFmtId="0" fontId="6" fillId="0" borderId="86" xfId="0" applyFont="1" applyBorder="1" applyAlignment="1">
      <alignment horizontal="right" vertical="center"/>
    </xf>
    <xf numFmtId="0" fontId="14" fillId="0" borderId="82" xfId="0" applyFont="1" applyBorder="1" applyAlignment="1">
      <alignment horizontal="right" vertical="center"/>
    </xf>
    <xf numFmtId="0" fontId="6" fillId="0" borderId="87" xfId="0" applyFont="1" applyBorder="1" applyAlignment="1">
      <alignment horizontal="right" vertical="center"/>
    </xf>
    <xf numFmtId="0" fontId="6" fillId="0" borderId="88" xfId="0" applyFont="1" applyBorder="1" applyAlignment="1">
      <alignment horizontal="right" vertical="center"/>
    </xf>
    <xf numFmtId="0" fontId="6" fillId="0" borderId="82" xfId="0" applyFont="1" applyBorder="1" applyAlignment="1">
      <alignment horizontal="right" vertical="center"/>
    </xf>
    <xf numFmtId="0" fontId="14" fillId="0" borderId="82" xfId="0" applyFont="1" applyFill="1" applyBorder="1" applyAlignment="1">
      <alignment horizontal="right" vertical="center"/>
    </xf>
    <xf numFmtId="0" fontId="0" fillId="0" borderId="87" xfId="0" applyFill="1" applyBorder="1" applyAlignment="1">
      <alignment vertical="center"/>
    </xf>
    <xf numFmtId="0" fontId="14" fillId="0" borderId="88" xfId="0" applyFont="1" applyBorder="1" applyAlignment="1">
      <alignment vertical="center"/>
    </xf>
    <xf numFmtId="5" fontId="14" fillId="0" borderId="87" xfId="1" applyNumberFormat="1" applyFont="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5" fontId="7" fillId="0" borderId="88" xfId="1" applyNumberFormat="1" applyFont="1" applyFill="1" applyBorder="1" applyAlignment="1">
      <alignment vertical="center"/>
    </xf>
    <xf numFmtId="0" fontId="14" fillId="0" borderId="90" xfId="0" applyFont="1" applyBorder="1" applyAlignment="1">
      <alignment horizontal="right" vertical="center"/>
    </xf>
    <xf numFmtId="5" fontId="7" fillId="0" borderId="91" xfId="1" applyNumberFormat="1" applyFont="1" applyFill="1" applyBorder="1" applyAlignment="1">
      <alignment vertical="center"/>
    </xf>
    <xf numFmtId="5" fontId="7" fillId="0" borderId="85" xfId="1" applyNumberFormat="1" applyFont="1" applyFill="1" applyBorder="1" applyAlignment="1">
      <alignment vertical="center"/>
    </xf>
    <xf numFmtId="5" fontId="7" fillId="11" borderId="85" xfId="1" applyNumberFormat="1" applyFont="1" applyFill="1" applyBorder="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2" xfId="1" applyNumberFormat="1" applyFont="1" applyBorder="1" applyAlignment="1">
      <alignment vertical="center"/>
    </xf>
    <xf numFmtId="164" fontId="6" fillId="0" borderId="93" xfId="1" applyNumberFormat="1" applyFont="1" applyBorder="1" applyAlignment="1">
      <alignment vertical="center"/>
    </xf>
    <xf numFmtId="165" fontId="0" fillId="0" borderId="94" xfId="2" applyNumberFormat="1" applyFont="1" applyBorder="1" applyAlignment="1">
      <alignment horizontal="center" vertical="center"/>
    </xf>
    <xf numFmtId="164" fontId="0" fillId="0" borderId="95" xfId="1" applyNumberFormat="1" applyFont="1" applyBorder="1" applyAlignment="1">
      <alignment vertical="center"/>
    </xf>
    <xf numFmtId="165" fontId="0" fillId="0" borderId="96"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1"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2" fillId="0" borderId="0" xfId="1" applyNumberFormat="1" applyFont="1" applyBorder="1" applyAlignment="1">
      <alignment vertical="center"/>
    </xf>
    <xf numFmtId="172"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43" fontId="22" fillId="0" borderId="0" xfId="3" applyFont="1" applyAlignment="1">
      <alignment horizontal="center" vertical="center" wrapText="1"/>
    </xf>
    <xf numFmtId="164" fontId="6" fillId="0" borderId="93"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97"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2" xfId="0" applyFont="1" applyBorder="1"/>
    <xf numFmtId="167" fontId="2" fillId="0" borderId="0" xfId="3" applyNumberFormat="1" applyFont="1" applyBorder="1"/>
    <xf numFmtId="167" fontId="12" fillId="0" borderId="42" xfId="3" applyNumberFormat="1" applyFont="1" applyBorder="1"/>
    <xf numFmtId="0" fontId="0" fillId="0" borderId="62" xfId="0" applyBorder="1"/>
    <xf numFmtId="0" fontId="0" fillId="0" borderId="42" xfId="0" applyBorder="1"/>
    <xf numFmtId="167" fontId="0" fillId="0" borderId="0" xfId="3" applyNumberFormat="1" applyFont="1" applyBorder="1"/>
    <xf numFmtId="167" fontId="14" fillId="0" borderId="42" xfId="3" applyNumberFormat="1" applyFont="1" applyBorder="1"/>
    <xf numFmtId="167" fontId="36" fillId="0" borderId="0" xfId="3" applyNumberFormat="1" applyFont="1" applyBorder="1"/>
    <xf numFmtId="167" fontId="37" fillId="0" borderId="42" xfId="3" applyNumberFormat="1" applyFont="1" applyBorder="1"/>
    <xf numFmtId="167" fontId="2" fillId="0" borderId="42" xfId="3" applyNumberFormat="1" applyFont="1" applyBorder="1"/>
    <xf numFmtId="167" fontId="0" fillId="0" borderId="0" xfId="0" applyNumberFormat="1" applyBorder="1"/>
    <xf numFmtId="167" fontId="0" fillId="0" borderId="42" xfId="0" applyNumberFormat="1" applyBorder="1"/>
    <xf numFmtId="0" fontId="2" fillId="0" borderId="63" xfId="0" applyFont="1" applyBorder="1"/>
    <xf numFmtId="167" fontId="0" fillId="0" borderId="49" xfId="0" applyNumberFormat="1" applyBorder="1"/>
    <xf numFmtId="167" fontId="0" fillId="0" borderId="50" xfId="0" applyNumberFormat="1" applyBorder="1"/>
    <xf numFmtId="0" fontId="2" fillId="0" borderId="79" xfId="0" applyFont="1" applyBorder="1"/>
    <xf numFmtId="0" fontId="2" fillId="0" borderId="51" xfId="0" applyFont="1" applyBorder="1" applyAlignment="1">
      <alignment horizont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0" xfId="0" applyFont="1" applyBorder="1"/>
    <xf numFmtId="0" fontId="0" fillId="0" borderId="42"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99" xfId="0" applyFont="1" applyBorder="1" applyAlignment="1">
      <alignment vertical="center"/>
    </xf>
    <xf numFmtId="0" fontId="20" fillId="0" borderId="100"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7" fontId="11" fillId="0" borderId="33" xfId="1" applyNumberFormat="1" applyFont="1" applyBorder="1" applyAlignment="1">
      <alignment horizontal="center"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49"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164" fontId="14"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2" xfId="0" applyFont="1" applyFill="1" applyBorder="1" applyAlignment="1">
      <alignment vertical="center"/>
    </xf>
    <xf numFmtId="5" fontId="2" fillId="11" borderId="52" xfId="0" applyNumberFormat="1" applyFont="1" applyFill="1" applyBorder="1" applyAlignment="1">
      <alignment vertical="center"/>
    </xf>
    <xf numFmtId="5" fontId="2" fillId="11" borderId="103" xfId="0" applyNumberFormat="1" applyFont="1" applyFill="1" applyBorder="1" applyAlignment="1">
      <alignment vertical="center"/>
    </xf>
    <xf numFmtId="5" fontId="2" fillId="0" borderId="104" xfId="0" applyNumberFormat="1" applyFont="1" applyFill="1" applyBorder="1" applyAlignment="1">
      <alignment vertical="center"/>
    </xf>
    <xf numFmtId="5" fontId="0" fillId="0" borderId="52" xfId="0" applyNumberFormat="1" applyBorder="1" applyAlignment="1">
      <alignment vertical="center"/>
    </xf>
    <xf numFmtId="5" fontId="2" fillId="12" borderId="104" xfId="0" applyNumberFormat="1" applyFont="1" applyFill="1" applyBorder="1" applyAlignment="1">
      <alignment vertical="center"/>
    </xf>
    <xf numFmtId="5" fontId="2" fillId="11" borderId="101"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5" xfId="1" applyNumberFormat="1" applyFont="1" applyFill="1" applyBorder="1" applyAlignment="1">
      <alignment vertical="center"/>
    </xf>
    <xf numFmtId="165" fontId="7" fillId="0" borderId="106" xfId="2" applyNumberFormat="1" applyFont="1" applyFill="1" applyBorder="1" applyAlignment="1">
      <alignment vertical="center"/>
    </xf>
    <xf numFmtId="5" fontId="7" fillId="0" borderId="86" xfId="1" applyNumberFormat="1" applyFont="1" applyFill="1" applyBorder="1" applyAlignment="1">
      <alignment vertical="center"/>
    </xf>
    <xf numFmtId="165" fontId="7" fillId="0" borderId="85"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2" fillId="0" borderId="0" xfId="1" applyNumberFormat="1" applyFont="1" applyAlignment="1"/>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5" fontId="2" fillId="0" borderId="0" xfId="2" applyNumberFormat="1" applyFont="1" applyFill="1" applyAlignment="1">
      <alignment vertical="center"/>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2" xfId="3" applyNumberFormat="1" applyFont="1" applyBorder="1"/>
    <xf numFmtId="5" fontId="38" fillId="0" borderId="108"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09" xfId="0" applyNumberFormat="1" applyFont="1" applyBorder="1"/>
    <xf numFmtId="5" fontId="4" fillId="0" borderId="114" xfId="0" applyNumberFormat="1" applyFont="1" applyBorder="1"/>
    <xf numFmtId="5" fontId="38" fillId="0" borderId="110" xfId="0" applyNumberFormat="1" applyFont="1" applyBorder="1"/>
    <xf numFmtId="5" fontId="38" fillId="0" borderId="30" xfId="0" applyNumberFormat="1" applyFont="1" applyBorder="1"/>
    <xf numFmtId="5" fontId="38" fillId="0" borderId="115" xfId="0" applyNumberFormat="1" applyFont="1" applyBorder="1"/>
    <xf numFmtId="0" fontId="40" fillId="14" borderId="0" xfId="0" applyFont="1" applyFill="1" applyBorder="1" applyAlignment="1">
      <alignment horizontal="center" vertical="center" wrapText="1"/>
    </xf>
    <xf numFmtId="5" fontId="41" fillId="14" borderId="0" xfId="3" applyNumberFormat="1" applyFont="1" applyFill="1" applyBorder="1"/>
    <xf numFmtId="5" fontId="40"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4" fillId="11" borderId="0" xfId="1" applyNumberFormat="1" applyFont="1" applyFill="1" applyAlignment="1">
      <alignment vertical="center"/>
    </xf>
    <xf numFmtId="164" fontId="0" fillId="11" borderId="76" xfId="1" applyNumberFormat="1" applyFont="1" applyFill="1" applyBorder="1" applyAlignment="1">
      <alignment vertical="center"/>
    </xf>
    <xf numFmtId="164" fontId="0" fillId="11" borderId="76" xfId="1" applyNumberFormat="1" applyFont="1" applyFill="1" applyBorder="1" applyAlignment="1">
      <alignment horizontal="center" vertical="center"/>
    </xf>
    <xf numFmtId="44" fontId="0" fillId="11" borderId="76" xfId="1" applyNumberFormat="1" applyFont="1" applyFill="1" applyBorder="1" applyAlignment="1">
      <alignment horizontal="center" vertical="center"/>
    </xf>
    <xf numFmtId="164" fontId="2" fillId="11" borderId="76" xfId="1" applyNumberFormat="1" applyFont="1" applyFill="1" applyBorder="1" applyAlignment="1">
      <alignment horizontal="center" vertical="center" wrapText="1"/>
    </xf>
    <xf numFmtId="164" fontId="2" fillId="11" borderId="76" xfId="1" applyNumberFormat="1" applyFont="1" applyFill="1" applyBorder="1" applyAlignment="1">
      <alignment horizontal="center" vertical="center"/>
    </xf>
    <xf numFmtId="164" fontId="0" fillId="11" borderId="0" xfId="1" applyNumberFormat="1" applyFont="1" applyFill="1" applyAlignment="1">
      <alignment horizontal="left" vertical="center"/>
    </xf>
    <xf numFmtId="164" fontId="0" fillId="0" borderId="76" xfId="1" applyNumberFormat="1" applyFont="1" applyFill="1" applyBorder="1" applyAlignment="1">
      <alignment vertical="center"/>
    </xf>
    <xf numFmtId="164" fontId="0" fillId="0" borderId="76" xfId="1" applyNumberFormat="1" applyFont="1" applyFill="1" applyBorder="1" applyAlignment="1">
      <alignment horizontal="center" vertical="center"/>
    </xf>
    <xf numFmtId="164" fontId="2" fillId="0" borderId="76" xfId="1" applyNumberFormat="1" applyFont="1" applyFill="1" applyBorder="1" applyAlignment="1">
      <alignment vertical="center"/>
    </xf>
    <xf numFmtId="0" fontId="0" fillId="0" borderId="6" xfId="0" applyBorder="1"/>
    <xf numFmtId="0" fontId="0" fillId="0" borderId="5" xfId="0" applyBorder="1"/>
    <xf numFmtId="5" fontId="0" fillId="0" borderId="0" xfId="0" applyNumberFormat="1"/>
    <xf numFmtId="0" fontId="43"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3" fontId="14" fillId="0" borderId="4" xfId="0" applyNumberFormat="1" applyFont="1" applyBorder="1"/>
    <xf numFmtId="173"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3"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4" fontId="0" fillId="0" borderId="4" xfId="0" applyNumberFormat="1" applyFont="1" applyBorder="1"/>
    <xf numFmtId="174" fontId="0" fillId="0" borderId="5" xfId="0" applyNumberFormat="1" applyFont="1" applyBorder="1"/>
    <xf numFmtId="174" fontId="2" fillId="11" borderId="9" xfId="0" applyNumberFormat="1" applyFont="1" applyFill="1" applyBorder="1"/>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3" fontId="0" fillId="0" borderId="0" xfId="1" applyNumberFormat="1" applyFont="1" applyAlignment="1">
      <alignment vertical="center"/>
    </xf>
    <xf numFmtId="5" fontId="12" fillId="0" borderId="0" xfId="1" applyNumberFormat="1" applyFont="1" applyFill="1" applyBorder="1" applyAlignment="1">
      <alignment vertical="center"/>
    </xf>
    <xf numFmtId="0" fontId="2" fillId="0" borderId="62" xfId="0" applyFont="1" applyFill="1" applyBorder="1" applyAlignment="1">
      <alignment vertical="center"/>
    </xf>
    <xf numFmtId="0" fontId="2" fillId="0" borderId="0" xfId="0" applyFont="1" applyFill="1" applyBorder="1" applyAlignment="1">
      <alignment vertical="top"/>
    </xf>
    <xf numFmtId="0" fontId="0" fillId="0" borderId="76" xfId="0" applyBorder="1" applyAlignment="1">
      <alignment vertical="center"/>
    </xf>
    <xf numFmtId="0" fontId="0" fillId="0" borderId="77"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6" xfId="1" applyNumberFormat="1"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6" fillId="0" borderId="90" xfId="0" applyFont="1" applyBorder="1" applyAlignment="1">
      <alignment horizontal="right" vertical="center"/>
    </xf>
    <xf numFmtId="0" fontId="6" fillId="0" borderId="18" xfId="0" applyFont="1" applyBorder="1" applyAlignment="1">
      <alignment horizontal="right" vertical="center"/>
    </xf>
    <xf numFmtId="0" fontId="0" fillId="0" borderId="78"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18"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1" xfId="0" applyFont="1" applyFill="1" applyBorder="1" applyAlignment="1">
      <alignment horizontal="center" vertical="center" wrapText="1"/>
    </xf>
    <xf numFmtId="5" fontId="7" fillId="12" borderId="81" xfId="1" applyNumberFormat="1" applyFont="1" applyFill="1" applyBorder="1" applyAlignment="1">
      <alignment horizontal="center" vertical="center"/>
    </xf>
    <xf numFmtId="5" fontId="7" fillId="12" borderId="85" xfId="1" applyNumberFormat="1" applyFont="1" applyFill="1" applyBorder="1" applyAlignment="1">
      <alignment horizontal="center" vertical="center"/>
    </xf>
    <xf numFmtId="0" fontId="0" fillId="12" borderId="52" xfId="0" applyFill="1" applyBorder="1" applyAlignment="1">
      <alignment vertical="center"/>
    </xf>
    <xf numFmtId="0" fontId="0" fillId="12" borderId="53" xfId="0" applyFill="1" applyBorder="1" applyAlignment="1">
      <alignment vertical="center"/>
    </xf>
    <xf numFmtId="5" fontId="12" fillId="12" borderId="81" xfId="1" applyNumberFormat="1" applyFont="1" applyFill="1" applyBorder="1" applyAlignment="1">
      <alignment horizontal="center" vertical="center"/>
    </xf>
    <xf numFmtId="0" fontId="2" fillId="12" borderId="51" xfId="0" applyFont="1" applyFill="1" applyBorder="1" applyAlignment="1">
      <alignment vertical="center"/>
    </xf>
    <xf numFmtId="5" fontId="7" fillId="12" borderId="89" xfId="1" applyNumberFormat="1" applyFont="1" applyFill="1" applyBorder="1" applyAlignment="1">
      <alignment vertical="center"/>
    </xf>
    <xf numFmtId="0" fontId="0" fillId="0" borderId="120" xfId="0" applyBorder="1" applyAlignment="1">
      <alignment vertical="center"/>
    </xf>
    <xf numFmtId="0" fontId="0" fillId="0" borderId="122" xfId="0" applyBorder="1" applyAlignment="1">
      <alignment vertical="center"/>
    </xf>
    <xf numFmtId="5" fontId="7" fillId="11" borderId="91"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top"/>
    </xf>
    <xf numFmtId="5" fontId="7" fillId="12" borderId="76" xfId="1" applyNumberFormat="1" applyFont="1" applyFill="1" applyBorder="1" applyAlignment="1">
      <alignment vertical="center"/>
    </xf>
    <xf numFmtId="5" fontId="2" fillId="12" borderId="76" xfId="1" applyNumberFormat="1"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5" fontId="7" fillId="12" borderId="81" xfId="1" applyNumberFormat="1" applyFont="1" applyFill="1" applyBorder="1" applyAlignment="1">
      <alignment vertical="center"/>
    </xf>
    <xf numFmtId="5" fontId="7" fillId="12" borderId="107" xfId="1" applyNumberFormat="1" applyFont="1" applyFill="1" applyBorder="1" applyAlignment="1">
      <alignment vertical="center"/>
    </xf>
    <xf numFmtId="5" fontId="7" fillId="12" borderId="101"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2" xfId="0" applyFont="1" applyBorder="1"/>
    <xf numFmtId="0" fontId="23" fillId="0" borderId="0" xfId="0" applyFont="1" applyBorder="1" applyAlignment="1">
      <alignment horizontal="center" vertical="center" textRotation="90" wrapText="1"/>
    </xf>
    <xf numFmtId="164" fontId="11" fillId="0" borderId="0" xfId="1" applyNumberFormat="1" applyFont="1" applyBorder="1" applyAlignment="1">
      <alignment vertical="center"/>
    </xf>
    <xf numFmtId="164" fontId="44" fillId="0" borderId="0" xfId="1" applyNumberFormat="1" applyFont="1" applyBorder="1" applyAlignment="1">
      <alignment vertical="center"/>
    </xf>
    <xf numFmtId="164" fontId="0" fillId="0" borderId="0" xfId="1" applyNumberFormat="1" applyFont="1" applyBorder="1"/>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3"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0" fillId="0" borderId="29" xfId="0" applyFill="1" applyBorder="1" applyAlignment="1">
      <alignment horizontal="left" vertical="center" wrapText="1"/>
    </xf>
    <xf numFmtId="0" fontId="2" fillId="0" borderId="81" xfId="0" applyFont="1" applyFill="1" applyBorder="1" applyAlignment="1">
      <alignment horizontal="center" vertical="center" wrapText="1"/>
    </xf>
    <xf numFmtId="0" fontId="11" fillId="0" borderId="88" xfId="0" applyFont="1" applyBorder="1" applyAlignment="1">
      <alignment horizontal="center" vertical="center"/>
    </xf>
    <xf numFmtId="5" fontId="11" fillId="0" borderId="88" xfId="1" applyNumberFormat="1" applyFont="1" applyBorder="1" applyAlignment="1">
      <alignment horizontal="center" vertical="center"/>
    </xf>
    <xf numFmtId="0" fontId="11" fillId="0" borderId="86" xfId="0" applyFont="1" applyBorder="1" applyAlignment="1">
      <alignment horizontal="right" vertical="center"/>
    </xf>
    <xf numFmtId="0" fontId="14" fillId="0" borderId="87" xfId="0" applyFont="1" applyBorder="1" applyAlignment="1">
      <alignment horizontal="center" vertical="center"/>
    </xf>
    <xf numFmtId="5" fontId="6" fillId="0" borderId="87" xfId="1" applyNumberFormat="1" applyFont="1" applyBorder="1" applyAlignment="1">
      <alignment horizontal="center" vertical="center"/>
    </xf>
    <xf numFmtId="5" fontId="6" fillId="0" borderId="87" xfId="1" applyNumberFormat="1" applyFont="1" applyBorder="1" applyAlignment="1">
      <alignment vertical="center"/>
    </xf>
    <xf numFmtId="0" fontId="2" fillId="0" borderId="45" xfId="0" applyFont="1" applyBorder="1" applyAlignment="1">
      <alignment vertical="center" textRotation="90" wrapText="1"/>
    </xf>
    <xf numFmtId="0" fontId="14" fillId="0" borderId="90" xfId="0" applyFont="1" applyBorder="1" applyAlignment="1">
      <alignment horizontal="center" vertical="center"/>
    </xf>
    <xf numFmtId="5" fontId="14" fillId="0" borderId="82" xfId="1" applyNumberFormat="1" applyFont="1" applyBorder="1" applyAlignment="1">
      <alignment vertical="center"/>
    </xf>
    <xf numFmtId="5" fontId="14" fillId="0" borderId="0" xfId="1" applyNumberFormat="1" applyFont="1" applyBorder="1" applyAlignment="1">
      <alignment vertical="center"/>
    </xf>
    <xf numFmtId="0" fontId="2" fillId="0" borderId="123" xfId="0" applyFont="1" applyFill="1" applyBorder="1" applyAlignment="1">
      <alignment vertical="center"/>
    </xf>
    <xf numFmtId="0" fontId="2" fillId="0" borderId="21" xfId="0" applyFont="1" applyFill="1" applyBorder="1" applyAlignment="1">
      <alignment vertical="center"/>
    </xf>
    <xf numFmtId="5" fontId="7" fillId="0" borderId="108" xfId="1" applyNumberFormat="1" applyFont="1" applyFill="1" applyBorder="1" applyAlignment="1">
      <alignment vertical="center"/>
    </xf>
    <xf numFmtId="0" fontId="0" fillId="0" borderId="124" xfId="0" applyFill="1" applyBorder="1" applyAlignment="1">
      <alignment vertical="center"/>
    </xf>
    <xf numFmtId="5" fontId="7" fillId="0" borderId="108" xfId="1" applyNumberFormat="1" applyFont="1" applyFill="1" applyBorder="1" applyAlignment="1">
      <alignment horizontal="center" vertical="center"/>
    </xf>
    <xf numFmtId="0" fontId="2" fillId="0" borderId="62" xfId="0" applyFont="1" applyBorder="1" applyAlignment="1">
      <alignment vertical="center" textRotation="90" wrapText="1"/>
    </xf>
    <xf numFmtId="0" fontId="2" fillId="0" borderId="48"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4" fontId="6" fillId="12" borderId="29" xfId="0" applyNumberFormat="1" applyFont="1" applyFill="1" applyBorder="1" applyAlignment="1">
      <alignment vertical="center"/>
    </xf>
    <xf numFmtId="174" fontId="6" fillId="0" borderId="29" xfId="0" applyNumberFormat="1" applyFont="1" applyFill="1" applyBorder="1" applyAlignment="1">
      <alignment vertical="center"/>
    </xf>
    <xf numFmtId="175"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164" fontId="0" fillId="11" borderId="0" xfId="1" applyNumberFormat="1" applyFont="1" applyFill="1" applyAlignment="1">
      <alignment horizontal="left" vertical="center" wrapText="1"/>
    </xf>
    <xf numFmtId="2" fontId="14" fillId="0" borderId="0" xfId="0" applyNumberFormat="1" applyFont="1" applyAlignment="1">
      <alignment vertical="center"/>
    </xf>
    <xf numFmtId="43" fontId="14" fillId="0" borderId="0" xfId="3" applyFont="1" applyAlignment="1">
      <alignment vertical="center"/>
    </xf>
    <xf numFmtId="0" fontId="14" fillId="0" borderId="0" xfId="0" applyFont="1" applyAlignment="1">
      <alignment vertical="center"/>
    </xf>
    <xf numFmtId="43" fontId="6" fillId="0" borderId="0" xfId="3" applyFont="1" applyAlignment="1">
      <alignment vertical="center"/>
    </xf>
    <xf numFmtId="43" fontId="2" fillId="0" borderId="0" xfId="0" applyNumberFormat="1" applyFont="1" applyAlignment="1">
      <alignment vertical="center"/>
    </xf>
    <xf numFmtId="43" fontId="0" fillId="0" borderId="0" xfId="0" applyNumberFormat="1" applyAlignment="1">
      <alignment vertical="center"/>
    </xf>
    <xf numFmtId="0" fontId="45" fillId="0" borderId="0" xfId="0" applyFont="1" applyAlignment="1">
      <alignment vertical="center"/>
    </xf>
    <xf numFmtId="37" fontId="0" fillId="0" borderId="0" xfId="3" applyNumberFormat="1" applyFont="1" applyFill="1" applyAlignment="1">
      <alignment horizontal="center" vertical="center"/>
    </xf>
    <xf numFmtId="165" fontId="1" fillId="0" borderId="0" xfId="2" applyNumberFormat="1" applyFont="1" applyFill="1" applyAlignment="1">
      <alignment horizontal="center" vertical="center"/>
    </xf>
    <xf numFmtId="164" fontId="2" fillId="0" borderId="33" xfId="1" applyNumberFormat="1" applyFont="1" applyFill="1" applyBorder="1" applyAlignment="1">
      <alignment horizontal="center" vertical="center"/>
    </xf>
    <xf numFmtId="164" fontId="2" fillId="0" borderId="33" xfId="1" applyNumberFormat="1" applyFont="1" applyFill="1" applyBorder="1" applyAlignment="1">
      <alignment vertical="center"/>
    </xf>
    <xf numFmtId="165" fontId="1" fillId="0" borderId="33" xfId="2" applyNumberFormat="1" applyFont="1" applyFill="1" applyBorder="1" applyAlignment="1">
      <alignment horizontal="center" vertical="center"/>
    </xf>
    <xf numFmtId="164" fontId="7" fillId="0" borderId="33" xfId="1" applyNumberFormat="1" applyFont="1" applyFill="1" applyBorder="1" applyAlignment="1">
      <alignment vertical="center"/>
    </xf>
    <xf numFmtId="165" fontId="2" fillId="0" borderId="33" xfId="2" applyNumberFormat="1" applyFont="1" applyFill="1" applyBorder="1" applyAlignment="1">
      <alignment horizontal="center" vertical="center"/>
    </xf>
    <xf numFmtId="0" fontId="0" fillId="0" borderId="33" xfId="1" applyNumberFormat="1" applyFont="1" applyBorder="1" applyAlignment="1">
      <alignment horizontal="left" vertical="center"/>
    </xf>
    <xf numFmtId="0" fontId="7" fillId="7" borderId="0" xfId="1" applyNumberFormat="1" applyFont="1" applyFill="1" applyBorder="1" applyAlignment="1">
      <alignment horizontal="left" vertical="center"/>
    </xf>
    <xf numFmtId="0" fontId="2" fillId="0" borderId="0" xfId="1" applyNumberFormat="1" applyFont="1" applyBorder="1" applyAlignment="1">
      <alignment horizontal="left" vertical="center" wrapText="1"/>
    </xf>
    <xf numFmtId="0" fontId="2" fillId="0" borderId="7" xfId="1" applyNumberFormat="1" applyFont="1" applyBorder="1" applyAlignment="1">
      <alignment horizontal="left" vertical="center" wrapText="1"/>
    </xf>
    <xf numFmtId="0" fontId="0" fillId="0" borderId="0" xfId="1" applyNumberFormat="1" applyFont="1" applyAlignment="1">
      <alignment horizontal="left"/>
    </xf>
    <xf numFmtId="0" fontId="0" fillId="0" borderId="0" xfId="2" applyNumberFormat="1" applyFont="1" applyBorder="1" applyAlignment="1">
      <alignment horizontal="left" vertical="center"/>
    </xf>
    <xf numFmtId="0" fontId="0" fillId="0" borderId="33" xfId="2" applyNumberFormat="1" applyFont="1" applyBorder="1" applyAlignment="1">
      <alignment horizontal="left" vertical="center"/>
    </xf>
    <xf numFmtId="0" fontId="2" fillId="2" borderId="0" xfId="2" applyNumberFormat="1" applyFont="1" applyFill="1" applyAlignment="1">
      <alignment horizontal="left" vertical="center"/>
    </xf>
    <xf numFmtId="0" fontId="6" fillId="0" borderId="0" xfId="2" applyNumberFormat="1" applyFont="1" applyFill="1" applyAlignment="1">
      <alignment horizontal="left" vertical="center"/>
    </xf>
    <xf numFmtId="0" fontId="10" fillId="2" borderId="0" xfId="2" applyNumberFormat="1" applyFont="1" applyFill="1" applyAlignment="1">
      <alignment horizontal="left" vertical="center"/>
    </xf>
    <xf numFmtId="0" fontId="38" fillId="0" borderId="0" xfId="1" applyNumberFormat="1" applyFont="1" applyAlignment="1">
      <alignment horizontal="left"/>
    </xf>
    <xf numFmtId="0" fontId="0" fillId="0" borderId="0" xfId="1" applyNumberFormat="1" applyFont="1" applyAlignment="1">
      <alignment horizontal="left" vertical="center"/>
    </xf>
    <xf numFmtId="0" fontId="0" fillId="0" borderId="32" xfId="2" applyNumberFormat="1" applyFont="1" applyBorder="1" applyAlignment="1">
      <alignment horizontal="left" vertical="center"/>
    </xf>
    <xf numFmtId="0" fontId="7" fillId="8" borderId="0" xfId="2" applyNumberFormat="1" applyFont="1" applyFill="1" applyAlignment="1">
      <alignment horizontal="left" vertical="center"/>
    </xf>
    <xf numFmtId="0" fontId="2" fillId="0" borderId="0" xfId="2" applyNumberFormat="1" applyFont="1" applyFill="1" applyAlignment="1">
      <alignment horizontal="left" vertical="center"/>
    </xf>
    <xf numFmtId="0" fontId="11" fillId="0" borderId="0" xfId="2" applyNumberFormat="1" applyFont="1" applyBorder="1" applyAlignment="1">
      <alignment horizontal="left" vertical="center"/>
    </xf>
    <xf numFmtId="0" fontId="0" fillId="0" borderId="34" xfId="2" applyNumberFormat="1" applyFont="1" applyBorder="1" applyAlignment="1">
      <alignment horizontal="left" vertical="center"/>
    </xf>
    <xf numFmtId="0" fontId="2" fillId="3" borderId="0" xfId="2" applyNumberFormat="1" applyFont="1" applyFill="1" applyAlignment="1">
      <alignment horizontal="left" vertical="center"/>
    </xf>
    <xf numFmtId="0" fontId="10" fillId="0" borderId="0" xfId="2" applyNumberFormat="1" applyFont="1" applyFill="1" applyAlignment="1">
      <alignment horizontal="left" vertical="center"/>
    </xf>
    <xf numFmtId="0" fontId="6" fillId="0" borderId="33" xfId="2" applyNumberFormat="1" applyFont="1" applyFill="1" applyBorder="1" applyAlignment="1">
      <alignment horizontal="left" vertical="center"/>
    </xf>
    <xf numFmtId="0" fontId="6" fillId="0" borderId="33" xfId="2" applyNumberFormat="1" applyFont="1" applyBorder="1" applyAlignment="1">
      <alignment horizontal="left" vertical="center" wrapText="1"/>
    </xf>
    <xf numFmtId="0" fontId="6" fillId="0" borderId="0" xfId="2" applyNumberFormat="1" applyFont="1" applyBorder="1" applyAlignment="1">
      <alignment horizontal="left" vertical="center"/>
    </xf>
    <xf numFmtId="0" fontId="0" fillId="0" borderId="34" xfId="2" applyNumberFormat="1" applyFont="1" applyBorder="1" applyAlignment="1">
      <alignment horizontal="left" vertical="center" wrapText="1"/>
    </xf>
    <xf numFmtId="0" fontId="0" fillId="0" borderId="33" xfId="3" applyNumberFormat="1" applyFont="1" applyBorder="1" applyAlignment="1">
      <alignment horizontal="left" vertical="center"/>
    </xf>
    <xf numFmtId="0" fontId="2" fillId="4" borderId="0" xfId="2" applyNumberFormat="1" applyFont="1" applyFill="1" applyAlignment="1">
      <alignment horizontal="left" vertical="center"/>
    </xf>
    <xf numFmtId="0" fontId="0" fillId="0" borderId="0" xfId="2" applyNumberFormat="1" applyFont="1" applyAlignment="1">
      <alignment horizontal="left" vertical="center" wrapText="1"/>
    </xf>
    <xf numFmtId="0" fontId="2" fillId="5" borderId="0" xfId="2" applyNumberFormat="1" applyFont="1" applyFill="1" applyAlignment="1">
      <alignment horizontal="left" vertical="center"/>
    </xf>
    <xf numFmtId="0" fontId="0" fillId="0" borderId="0" xfId="2" applyNumberFormat="1" applyFont="1" applyAlignment="1">
      <alignment horizontal="left" vertical="center"/>
    </xf>
    <xf numFmtId="0" fontId="14" fillId="0" borderId="33" xfId="2" applyNumberFormat="1" applyFont="1" applyBorder="1" applyAlignment="1">
      <alignment horizontal="left" vertical="center"/>
    </xf>
    <xf numFmtId="0" fontId="12" fillId="6" borderId="0" xfId="2" applyNumberFormat="1" applyFont="1" applyFill="1" applyAlignment="1">
      <alignment horizontal="left" vertical="center"/>
    </xf>
    <xf numFmtId="0" fontId="2" fillId="7" borderId="0" xfId="2" applyNumberFormat="1" applyFont="1" applyFill="1" applyAlignment="1">
      <alignment horizontal="left" vertical="center"/>
    </xf>
    <xf numFmtId="0" fontId="12" fillId="7" borderId="0" xfId="2" applyNumberFormat="1" applyFont="1" applyFill="1" applyAlignment="1">
      <alignment horizontal="left" vertical="center"/>
    </xf>
    <xf numFmtId="0" fontId="2" fillId="2" borderId="0" xfId="2" applyNumberFormat="1" applyFont="1" applyFill="1" applyBorder="1" applyAlignment="1">
      <alignment horizontal="left" vertical="center"/>
    </xf>
    <xf numFmtId="0" fontId="12" fillId="2" borderId="0" xfId="2" applyNumberFormat="1" applyFont="1" applyFill="1" applyBorder="1" applyAlignment="1">
      <alignment horizontal="left" vertical="center"/>
    </xf>
    <xf numFmtId="0" fontId="0" fillId="11" borderId="76" xfId="1" applyNumberFormat="1" applyFont="1" applyFill="1" applyBorder="1" applyAlignment="1">
      <alignment horizontal="left" vertical="center"/>
    </xf>
    <xf numFmtId="0" fontId="0" fillId="11" borderId="0" xfId="1" applyNumberFormat="1" applyFont="1" applyFill="1" applyAlignment="1">
      <alignment horizontal="left" vertical="center"/>
    </xf>
    <xf numFmtId="0" fontId="0" fillId="0" borderId="76" xfId="1" applyNumberFormat="1" applyFont="1" applyFill="1" applyBorder="1" applyAlignment="1">
      <alignment horizontal="left" vertical="center"/>
    </xf>
    <xf numFmtId="0" fontId="5" fillId="0" borderId="0" xfId="1" applyNumberFormat="1" applyFont="1" applyAlignment="1">
      <alignment horizontal="left" vertical="center"/>
    </xf>
    <xf numFmtId="0" fontId="2" fillId="0" borderId="0" xfId="1" applyNumberFormat="1" applyFont="1" applyAlignment="1">
      <alignment horizontal="left" vertical="center"/>
    </xf>
    <xf numFmtId="0" fontId="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0" xfId="1" applyNumberFormat="1" applyFont="1" applyAlignment="1">
      <alignment horizontal="left"/>
    </xf>
    <xf numFmtId="0" fontId="0" fillId="0" borderId="0" xfId="1" applyNumberFormat="1" applyFont="1" applyFill="1" applyAlignment="1">
      <alignment horizontal="left"/>
    </xf>
    <xf numFmtId="0" fontId="0" fillId="0" borderId="0" xfId="1" applyNumberFormat="1" applyFont="1" applyBorder="1" applyAlignment="1">
      <alignment horizontal="left" vertical="center"/>
    </xf>
    <xf numFmtId="0" fontId="0" fillId="0" borderId="0" xfId="1" applyNumberFormat="1" applyFont="1" applyFill="1" applyBorder="1" applyAlignment="1">
      <alignment horizontal="left" vertical="center"/>
    </xf>
    <xf numFmtId="0" fontId="0" fillId="0" borderId="33" xfId="1" applyNumberFormat="1" applyFont="1" applyFill="1" applyBorder="1" applyAlignment="1">
      <alignment horizontal="left" vertical="center"/>
    </xf>
    <xf numFmtId="0" fontId="2" fillId="2" borderId="0" xfId="1" applyNumberFormat="1" applyFont="1" applyFill="1" applyAlignment="1">
      <alignment horizontal="left" vertical="center"/>
    </xf>
    <xf numFmtId="0" fontId="0" fillId="0" borderId="34" xfId="1" applyNumberFormat="1" applyFont="1" applyBorder="1" applyAlignment="1">
      <alignment horizontal="left" vertical="center"/>
    </xf>
    <xf numFmtId="0" fontId="0" fillId="0" borderId="34" xfId="1" applyNumberFormat="1" applyFont="1" applyFill="1" applyBorder="1" applyAlignment="1">
      <alignment horizontal="left" vertical="center"/>
    </xf>
    <xf numFmtId="0" fontId="5" fillId="0" borderId="0" xfId="1" applyNumberFormat="1" applyFont="1" applyAlignment="1">
      <alignment horizontal="left"/>
    </xf>
    <xf numFmtId="0" fontId="38" fillId="0" borderId="0" xfId="1" applyNumberFormat="1" applyFont="1" applyFill="1" applyAlignment="1">
      <alignment horizontal="left"/>
    </xf>
    <xf numFmtId="0" fontId="4" fillId="0" borderId="0" xfId="1" applyNumberFormat="1" applyFont="1" applyAlignment="1">
      <alignment horizontal="left" vertical="center"/>
    </xf>
    <xf numFmtId="0" fontId="0" fillId="0" borderId="32" xfId="1" applyNumberFormat="1" applyFont="1" applyBorder="1" applyAlignment="1">
      <alignment horizontal="left" vertical="center"/>
    </xf>
    <xf numFmtId="0" fontId="0" fillId="0" borderId="32" xfId="1" applyNumberFormat="1" applyFont="1" applyFill="1" applyBorder="1" applyAlignment="1">
      <alignment horizontal="left" vertical="center"/>
    </xf>
    <xf numFmtId="0" fontId="28" fillId="8" borderId="0" xfId="2" applyNumberFormat="1" applyFont="1" applyFill="1" applyAlignment="1">
      <alignment horizontal="left" vertical="center"/>
    </xf>
    <xf numFmtId="0" fontId="4" fillId="0" borderId="0" xfId="1" applyNumberFormat="1" applyFont="1" applyFill="1" applyAlignment="1">
      <alignment horizontal="left" vertical="center"/>
    </xf>
    <xf numFmtId="0" fontId="2" fillId="0" borderId="0" xfId="1" quotePrefix="1" applyNumberFormat="1" applyFont="1" applyFill="1" applyAlignment="1">
      <alignment horizontal="left" vertical="center"/>
    </xf>
    <xf numFmtId="0" fontId="2" fillId="3" borderId="0" xfId="1" applyNumberFormat="1" applyFont="1" applyFill="1" applyAlignment="1">
      <alignment horizontal="left" vertical="center"/>
    </xf>
    <xf numFmtId="0" fontId="1" fillId="0" borderId="0" xfId="1" applyNumberFormat="1" applyFont="1" applyFill="1" applyAlignment="1">
      <alignment horizontal="left" vertical="center"/>
    </xf>
    <xf numFmtId="0" fontId="1" fillId="0" borderId="33" xfId="1" applyNumberFormat="1" applyFont="1" applyFill="1" applyBorder="1" applyAlignment="1">
      <alignment horizontal="left" vertical="center"/>
    </xf>
    <xf numFmtId="0" fontId="1" fillId="3" borderId="0" xfId="1" applyNumberFormat="1" applyFont="1" applyFill="1" applyAlignment="1">
      <alignment horizontal="left" vertical="center"/>
    </xf>
    <xf numFmtId="0" fontId="2" fillId="0" borderId="0" xfId="1" applyNumberFormat="1" applyFont="1" applyAlignment="1">
      <alignment horizontal="left" vertical="top"/>
    </xf>
    <xf numFmtId="0" fontId="0" fillId="0" borderId="0" xfId="1" applyNumberFormat="1" applyFont="1" applyFill="1" applyAlignment="1">
      <alignment horizontal="left" wrapText="1"/>
    </xf>
    <xf numFmtId="0" fontId="2" fillId="4" borderId="0" xfId="1" applyNumberFormat="1" applyFont="1" applyFill="1" applyAlignment="1">
      <alignment horizontal="left" vertical="center"/>
    </xf>
    <xf numFmtId="0" fontId="2" fillId="0" borderId="0" xfId="1" applyNumberFormat="1" applyFont="1" applyBorder="1" applyAlignment="1">
      <alignment horizontal="left" vertical="center"/>
    </xf>
    <xf numFmtId="0" fontId="2" fillId="5" borderId="0" xfId="1" applyNumberFormat="1" applyFont="1" applyFill="1" applyAlignment="1">
      <alignment horizontal="left" vertical="center"/>
    </xf>
    <xf numFmtId="0" fontId="2" fillId="6" borderId="0" xfId="1" applyNumberFormat="1" applyFont="1" applyFill="1" applyAlignment="1">
      <alignment horizontal="left" vertical="center"/>
    </xf>
    <xf numFmtId="0" fontId="2" fillId="7" borderId="0" xfId="1" applyNumberFormat="1" applyFont="1" applyFill="1" applyAlignment="1">
      <alignment horizontal="left" vertical="center"/>
    </xf>
    <xf numFmtId="0" fontId="0" fillId="7" borderId="0" xfId="1" applyNumberFormat="1" applyFont="1" applyFill="1" applyAlignment="1">
      <alignment horizontal="left" vertical="center"/>
    </xf>
    <xf numFmtId="0" fontId="2" fillId="2" borderId="17" xfId="1" applyNumberFormat="1" applyFont="1" applyFill="1" applyBorder="1" applyAlignment="1">
      <alignment horizontal="left" vertical="center"/>
    </xf>
    <xf numFmtId="0" fontId="0" fillId="2" borderId="18" xfId="1" applyNumberFormat="1" applyFont="1" applyFill="1" applyBorder="1" applyAlignment="1">
      <alignment horizontal="left" vertical="center"/>
    </xf>
    <xf numFmtId="0" fontId="2" fillId="2" borderId="23" xfId="1" applyNumberFormat="1" applyFont="1" applyFill="1" applyBorder="1" applyAlignment="1">
      <alignment horizontal="left" vertical="center"/>
    </xf>
    <xf numFmtId="0" fontId="0" fillId="2" borderId="0" xfId="1" applyNumberFormat="1" applyFont="1" applyFill="1" applyBorder="1" applyAlignment="1">
      <alignment horizontal="left" vertical="center"/>
    </xf>
    <xf numFmtId="0" fontId="2" fillId="2" borderId="20" xfId="1" applyNumberFormat="1" applyFont="1" applyFill="1" applyBorder="1" applyAlignment="1">
      <alignment horizontal="left" vertical="center"/>
    </xf>
    <xf numFmtId="0" fontId="0" fillId="2" borderId="21" xfId="1" applyNumberFormat="1" applyFont="1" applyFill="1" applyBorder="1" applyAlignment="1">
      <alignment horizontal="left" vertical="center"/>
    </xf>
    <xf numFmtId="0" fontId="2" fillId="11" borderId="75" xfId="1" applyNumberFormat="1" applyFont="1" applyFill="1" applyBorder="1" applyAlignment="1">
      <alignment horizontal="left" vertical="center"/>
    </xf>
    <xf numFmtId="0" fontId="0" fillId="11" borderId="75" xfId="1" applyNumberFormat="1" applyFont="1" applyFill="1" applyBorder="1" applyAlignment="1">
      <alignment horizontal="left" vertical="center"/>
    </xf>
    <xf numFmtId="0" fontId="1" fillId="0" borderId="0" xfId="1" applyNumberFormat="1" applyFont="1" applyAlignment="1">
      <alignment horizontal="left" vertical="center"/>
    </xf>
    <xf numFmtId="0" fontId="1" fillId="11" borderId="0" xfId="1" applyNumberFormat="1" applyFont="1" applyFill="1" applyAlignment="1">
      <alignment horizontal="left" vertical="center"/>
    </xf>
    <xf numFmtId="0" fontId="2" fillId="0" borderId="75" xfId="1" applyNumberFormat="1" applyFont="1" applyFill="1" applyBorder="1" applyAlignment="1">
      <alignment horizontal="left" vertical="center"/>
    </xf>
    <xf numFmtId="0" fontId="1" fillId="0" borderId="0" xfId="1" applyNumberFormat="1" applyFont="1" applyAlignment="1">
      <alignment horizontal="left"/>
    </xf>
    <xf numFmtId="164" fontId="0" fillId="0" borderId="0" xfId="1" applyNumberFormat="1" applyFont="1" applyBorder="1" applyAlignment="1"/>
    <xf numFmtId="164" fontId="38" fillId="0" borderId="0" xfId="1" applyNumberFormat="1" applyFont="1" applyBorder="1" applyAlignment="1"/>
    <xf numFmtId="164" fontId="2" fillId="0" borderId="0" xfId="1" applyNumberFormat="1" applyFont="1" applyFill="1" applyBorder="1" applyAlignment="1">
      <alignment vertical="center"/>
    </xf>
    <xf numFmtId="164" fontId="0" fillId="11" borderId="0" xfId="1" applyNumberFormat="1" applyFont="1" applyFill="1" applyBorder="1" applyAlignment="1">
      <alignment vertical="center"/>
    </xf>
    <xf numFmtId="164" fontId="0" fillId="11" borderId="0" xfId="1" applyNumberFormat="1" applyFont="1" applyFill="1" applyBorder="1" applyAlignment="1">
      <alignment horizontal="center" vertical="center"/>
    </xf>
    <xf numFmtId="164" fontId="14" fillId="11" borderId="76" xfId="1" applyNumberFormat="1" applyFont="1" applyFill="1" applyBorder="1" applyAlignment="1">
      <alignment vertical="center"/>
    </xf>
    <xf numFmtId="164" fontId="0" fillId="0" borderId="18" xfId="1" applyNumberFormat="1" applyFont="1" applyBorder="1" applyAlignment="1">
      <alignment vertical="center"/>
    </xf>
    <xf numFmtId="164" fontId="0" fillId="0" borderId="76" xfId="1" applyNumberFormat="1" applyFont="1" applyBorder="1" applyAlignment="1">
      <alignment horizontal="left" vertical="center"/>
    </xf>
    <xf numFmtId="164" fontId="0" fillId="0" borderId="77" xfId="1" applyNumberFormat="1" applyFont="1" applyBorder="1" applyAlignment="1">
      <alignment horizontal="left" vertical="center"/>
    </xf>
    <xf numFmtId="0" fontId="0" fillId="0" borderId="23" xfId="1" applyNumberFormat="1" applyFont="1" applyBorder="1" applyAlignment="1">
      <alignment horizontal="left" vertical="center"/>
    </xf>
    <xf numFmtId="0" fontId="0" fillId="11" borderId="23" xfId="1" applyNumberFormat="1" applyFont="1" applyFill="1" applyBorder="1" applyAlignment="1">
      <alignment horizontal="left" vertical="center"/>
    </xf>
    <xf numFmtId="0" fontId="0" fillId="11" borderId="0" xfId="1" applyNumberFormat="1" applyFont="1" applyFill="1" applyBorder="1" applyAlignment="1">
      <alignment horizontal="left" vertical="center"/>
    </xf>
    <xf numFmtId="44" fontId="0" fillId="11" borderId="0" xfId="1" applyNumberFormat="1" applyFont="1" applyFill="1" applyBorder="1" applyAlignment="1">
      <alignment horizontal="center" vertical="center"/>
    </xf>
    <xf numFmtId="164" fontId="14" fillId="11" borderId="0" xfId="1" applyNumberFormat="1" applyFont="1" applyFill="1" applyBorder="1" applyAlignment="1">
      <alignment vertical="center"/>
    </xf>
    <xf numFmtId="164" fontId="0" fillId="11" borderId="0" xfId="1" applyNumberFormat="1" applyFont="1" applyFill="1" applyBorder="1" applyAlignment="1">
      <alignment horizontal="left" vertical="center"/>
    </xf>
    <xf numFmtId="164" fontId="0" fillId="11" borderId="24" xfId="1" applyNumberFormat="1" applyFont="1" applyFill="1" applyBorder="1" applyAlignment="1">
      <alignment horizontal="left" vertical="center"/>
    </xf>
    <xf numFmtId="0" fontId="0" fillId="0" borderId="17" xfId="0" applyBorder="1"/>
    <xf numFmtId="0" fontId="0" fillId="0" borderId="18" xfId="0" applyBorder="1"/>
    <xf numFmtId="174" fontId="14" fillId="0" borderId="18" xfId="1" applyNumberFormat="1" applyFont="1" applyBorder="1"/>
    <xf numFmtId="0" fontId="0" fillId="0" borderId="19" xfId="0" applyBorder="1"/>
    <xf numFmtId="174" fontId="0" fillId="0" borderId="0" xfId="1" applyNumberFormat="1" applyFont="1" applyBorder="1"/>
    <xf numFmtId="0" fontId="0" fillId="0" borderId="24" xfId="0" applyBorder="1"/>
    <xf numFmtId="0" fontId="0" fillId="0" borderId="23" xfId="0" applyBorder="1"/>
    <xf numFmtId="174" fontId="14" fillId="0" borderId="0" xfId="1" applyNumberFormat="1" applyFont="1" applyBorder="1"/>
    <xf numFmtId="0" fontId="0" fillId="0" borderId="20" xfId="0" applyBorder="1"/>
    <xf numFmtId="0" fontId="2" fillId="0" borderId="21" xfId="0" applyFont="1" applyBorder="1"/>
    <xf numFmtId="174" fontId="7" fillId="0" borderId="21" xfId="1" applyNumberFormat="1" applyFont="1" applyBorder="1"/>
    <xf numFmtId="174" fontId="14" fillId="0" borderId="21" xfId="1" applyNumberFormat="1" applyFont="1" applyBorder="1"/>
    <xf numFmtId="0" fontId="0" fillId="0" borderId="21" xfId="0" applyBorder="1"/>
    <xf numFmtId="0" fontId="0" fillId="0" borderId="22" xfId="0" applyBorder="1"/>
    <xf numFmtId="174" fontId="46" fillId="0" borderId="18" xfId="0" applyNumberFormat="1" applyFont="1" applyBorder="1" applyAlignment="1">
      <alignment horizontal="right"/>
    </xf>
    <xf numFmtId="174" fontId="47" fillId="0" borderId="0" xfId="1" applyNumberFormat="1" applyFont="1" applyBorder="1" applyAlignment="1">
      <alignment horizontal="right"/>
    </xf>
    <xf numFmtId="174" fontId="46" fillId="0" borderId="0" xfId="0" applyNumberFormat="1" applyFont="1" applyBorder="1" applyAlignment="1">
      <alignment horizontal="right"/>
    </xf>
    <xf numFmtId="0" fontId="0" fillId="0" borderId="75" xfId="0" applyBorder="1" applyAlignment="1">
      <alignment vertical="center"/>
    </xf>
    <xf numFmtId="174" fontId="14" fillId="0" borderId="76" xfId="1" applyNumberFormat="1" applyFont="1" applyBorder="1" applyAlignment="1">
      <alignment vertical="center"/>
    </xf>
    <xf numFmtId="174" fontId="0" fillId="0" borderId="76" xfId="0" applyNumberFormat="1" applyBorder="1" applyAlignment="1">
      <alignment vertical="center"/>
    </xf>
    <xf numFmtId="0" fontId="0" fillId="11" borderId="75" xfId="0" applyFill="1" applyBorder="1" applyAlignment="1">
      <alignment vertical="center"/>
    </xf>
    <xf numFmtId="0" fontId="0" fillId="11" borderId="76" xfId="0" applyFill="1" applyBorder="1" applyAlignment="1">
      <alignment vertical="center"/>
    </xf>
    <xf numFmtId="174" fontId="14" fillId="11" borderId="76" xfId="1" applyNumberFormat="1" applyFont="1" applyFill="1" applyBorder="1" applyAlignment="1">
      <alignment vertical="center"/>
    </xf>
    <xf numFmtId="174" fontId="0" fillId="11" borderId="76" xfId="0" applyNumberFormat="1" applyFill="1" applyBorder="1" applyAlignment="1">
      <alignment vertical="center"/>
    </xf>
    <xf numFmtId="0" fontId="0" fillId="11" borderId="77" xfId="0" applyFill="1" applyBorder="1" applyAlignment="1">
      <alignment vertical="center"/>
    </xf>
    <xf numFmtId="0" fontId="0" fillId="11" borderId="75" xfId="0" applyFill="1" applyBorder="1" applyAlignment="1">
      <alignment horizontal="right" vertical="center"/>
    </xf>
    <xf numFmtId="0" fontId="0" fillId="11" borderId="76" xfId="0" applyFill="1" applyBorder="1" applyAlignment="1">
      <alignment horizontal="left" vertical="center"/>
    </xf>
    <xf numFmtId="174" fontId="0" fillId="11" borderId="76" xfId="1" applyNumberFormat="1" applyFont="1" applyFill="1" applyBorder="1" applyAlignment="1">
      <alignment horizontal="right" vertical="center"/>
    </xf>
    <xf numFmtId="174" fontId="0" fillId="11" borderId="76" xfId="0" applyNumberFormat="1" applyFill="1" applyBorder="1" applyAlignment="1">
      <alignment horizontal="center" vertical="center"/>
    </xf>
    <xf numFmtId="0" fontId="0" fillId="11" borderId="76" xfId="0" applyFill="1" applyBorder="1" applyAlignment="1">
      <alignment horizontal="center" vertical="center"/>
    </xf>
    <xf numFmtId="0" fontId="0" fillId="11" borderId="77" xfId="0" applyFill="1" applyBorder="1" applyAlignment="1">
      <alignment horizontal="center" vertical="center"/>
    </xf>
    <xf numFmtId="0" fontId="6" fillId="11" borderId="75" xfId="0" applyFont="1" applyFill="1" applyBorder="1" applyAlignment="1">
      <alignment vertical="center"/>
    </xf>
    <xf numFmtId="0" fontId="6" fillId="11" borderId="76" xfId="0" applyFont="1" applyFill="1" applyBorder="1" applyAlignment="1">
      <alignment vertical="center"/>
    </xf>
    <xf numFmtId="174" fontId="6" fillId="11" borderId="76" xfId="0" applyNumberFormat="1" applyFont="1" applyFill="1" applyBorder="1" applyAlignment="1">
      <alignment vertical="center"/>
    </xf>
    <xf numFmtId="0" fontId="6" fillId="11" borderId="77" xfId="0" applyFont="1" applyFill="1" applyBorder="1" applyAlignment="1">
      <alignment vertical="center"/>
    </xf>
    <xf numFmtId="0" fontId="46" fillId="0" borderId="0" xfId="0" applyFont="1" applyBorder="1"/>
    <xf numFmtId="164" fontId="0" fillId="0" borderId="0" xfId="1" applyNumberFormat="1" applyFont="1" applyAlignment="1">
      <alignment horizontal="left" vertical="center"/>
    </xf>
    <xf numFmtId="0" fontId="2" fillId="0" borderId="33" xfId="1" applyNumberFormat="1" applyFont="1" applyFill="1" applyBorder="1" applyAlignment="1">
      <alignment horizontal="left" vertical="center"/>
    </xf>
    <xf numFmtId="167" fontId="6" fillId="0" borderId="0" xfId="3" applyNumberFormat="1" applyFont="1" applyBorder="1"/>
    <xf numFmtId="44" fontId="0" fillId="0" borderId="0" xfId="0" applyNumberFormat="1" applyAlignment="1">
      <alignment vertical="center"/>
    </xf>
    <xf numFmtId="0" fontId="45" fillId="0" borderId="17" xfId="0" applyFont="1" applyBorder="1" applyAlignment="1">
      <alignment vertical="center"/>
    </xf>
    <xf numFmtId="0" fontId="2" fillId="0" borderId="23" xfId="0" applyFont="1" applyBorder="1" applyAlignment="1">
      <alignment vertical="center"/>
    </xf>
    <xf numFmtId="0" fontId="0" fillId="0" borderId="24" xfId="0" applyBorder="1" applyAlignment="1">
      <alignment vertical="center"/>
    </xf>
    <xf numFmtId="44" fontId="14" fillId="0" borderId="0" xfId="1" applyFont="1" applyBorder="1" applyAlignment="1">
      <alignment vertical="center"/>
    </xf>
    <xf numFmtId="44" fontId="14" fillId="0" borderId="24" xfId="1" applyFont="1"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2" fillId="0" borderId="18" xfId="0" applyFont="1" applyBorder="1" applyAlignment="1">
      <alignment vertical="center"/>
    </xf>
    <xf numFmtId="0" fontId="45" fillId="0" borderId="17" xfId="0" applyFont="1" applyBorder="1" applyAlignment="1">
      <alignment horizontal="left" vertical="center"/>
    </xf>
    <xf numFmtId="0" fontId="2" fillId="0" borderId="17" xfId="0" applyFont="1" applyBorder="1" applyAlignment="1">
      <alignment horizontal="left" vertical="center"/>
    </xf>
    <xf numFmtId="0" fontId="45" fillId="0" borderId="18" xfId="0" applyFont="1" applyBorder="1" applyAlignment="1">
      <alignment vertical="center"/>
    </xf>
    <xf numFmtId="0" fontId="45" fillId="0" borderId="19" xfId="0" applyFont="1" applyBorder="1" applyAlignment="1">
      <alignment vertical="center"/>
    </xf>
    <xf numFmtId="0" fontId="45" fillId="0" borderId="0" xfId="0" applyFont="1" applyBorder="1" applyAlignment="1">
      <alignment horizontal="center" vertical="center"/>
    </xf>
    <xf numFmtId="0" fontId="45" fillId="0" borderId="24" xfId="0" applyFont="1" applyBorder="1" applyAlignment="1">
      <alignment vertical="center"/>
    </xf>
    <xf numFmtId="44" fontId="14" fillId="0" borderId="0" xfId="3" applyNumberFormat="1" applyFont="1" applyBorder="1" applyAlignment="1">
      <alignment vertical="center"/>
    </xf>
    <xf numFmtId="44" fontId="0" fillId="0" borderId="24" xfId="0" applyNumberFormat="1" applyBorder="1" applyAlignment="1">
      <alignment vertical="center"/>
    </xf>
    <xf numFmtId="0" fontId="2" fillId="0" borderId="17" xfId="0" applyFont="1" applyBorder="1" applyAlignment="1">
      <alignment vertical="center"/>
    </xf>
    <xf numFmtId="164" fontId="2" fillId="11" borderId="22" xfId="0" applyNumberFormat="1" applyFont="1" applyFill="1" applyBorder="1" applyAlignment="1">
      <alignment vertical="center"/>
    </xf>
    <xf numFmtId="5" fontId="1" fillId="0" borderId="29" xfId="1" applyNumberFormat="1" applyFont="1" applyFill="1" applyBorder="1" applyAlignment="1">
      <alignment horizontal="right" vertical="center"/>
    </xf>
    <xf numFmtId="44" fontId="2" fillId="11" borderId="0" xfId="0" applyNumberFormat="1" applyFont="1" applyFill="1" applyBorder="1" applyAlignment="1">
      <alignment vertical="center"/>
    </xf>
    <xf numFmtId="0" fontId="20" fillId="0" borderId="0" xfId="0" applyFont="1"/>
    <xf numFmtId="5" fontId="6" fillId="0" borderId="30" xfId="0" applyNumberFormat="1" applyFont="1" applyFill="1" applyBorder="1" applyAlignment="1">
      <alignment vertical="center"/>
    </xf>
    <xf numFmtId="5" fontId="16" fillId="10" borderId="0" xfId="0" applyNumberFormat="1" applyFont="1" applyFill="1" applyAlignment="1">
      <alignment vertical="center"/>
    </xf>
    <xf numFmtId="0" fontId="16" fillId="0" borderId="0" xfId="0" applyFont="1" applyAlignment="1">
      <alignment vertical="center"/>
    </xf>
    <xf numFmtId="7" fontId="16" fillId="10" borderId="0" xfId="0" applyNumberFormat="1" applyFont="1" applyFill="1" applyAlignment="1">
      <alignment vertical="center"/>
    </xf>
    <xf numFmtId="9" fontId="0" fillId="0" borderId="0" xfId="2" applyFont="1" applyAlignment="1">
      <alignment vertical="center"/>
    </xf>
    <xf numFmtId="0" fontId="27" fillId="0" borderId="0" xfId="0" applyFont="1" applyFill="1"/>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19" fillId="0" borderId="0" xfId="0" applyFont="1" applyAlignment="1">
      <alignment horizontal="center"/>
    </xf>
    <xf numFmtId="164" fontId="0" fillId="0" borderId="0" xfId="1" applyNumberFormat="1" applyFont="1" applyAlignment="1">
      <alignment horizontal="left" vertical="center"/>
    </xf>
    <xf numFmtId="164" fontId="0" fillId="11" borderId="0" xfId="1" applyNumberFormat="1" applyFont="1" applyFill="1" applyAlignment="1">
      <alignment horizontal="left" vertical="center"/>
    </xf>
    <xf numFmtId="0" fontId="0" fillId="0" borderId="34" xfId="1" applyNumberFormat="1" applyFont="1" applyBorder="1" applyAlignment="1">
      <alignment horizontal="left" vertical="center" wrapText="1"/>
    </xf>
    <xf numFmtId="0" fontId="6" fillId="0" borderId="33" xfId="1" applyNumberFormat="1" applyFont="1" applyBorder="1" applyAlignment="1">
      <alignment horizontal="left" vertical="center" wrapText="1"/>
    </xf>
    <xf numFmtId="164" fontId="0" fillId="0" borderId="18" xfId="1" applyNumberFormat="1" applyFont="1" applyBorder="1" applyAlignment="1">
      <alignment horizontal="left" vertical="center"/>
    </xf>
    <xf numFmtId="164" fontId="0" fillId="11" borderId="76" xfId="1" applyNumberFormat="1" applyFont="1" applyFill="1" applyBorder="1" applyAlignment="1">
      <alignment horizontal="left" vertical="center"/>
    </xf>
    <xf numFmtId="0"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11" borderId="0" xfId="1" applyNumberFormat="1" applyFont="1" applyFill="1" applyBorder="1" applyAlignment="1">
      <alignment horizontal="left" vertical="center"/>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wrapText="1"/>
    </xf>
    <xf numFmtId="164" fontId="12" fillId="0" borderId="9"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 fillId="8" borderId="34" xfId="1" quotePrefix="1" applyNumberFormat="1" applyFont="1" applyFill="1" applyBorder="1" applyAlignment="1">
      <alignment horizontal="left" vertical="center" wrapText="1"/>
    </xf>
    <xf numFmtId="164" fontId="0" fillId="0" borderId="0" xfId="1" applyNumberFormat="1" applyFont="1" applyBorder="1" applyAlignment="1">
      <alignment horizontal="left" vertical="center" wrapText="1"/>
    </xf>
    <xf numFmtId="164" fontId="0" fillId="0" borderId="24" xfId="1" applyNumberFormat="1" applyFont="1" applyBorder="1" applyAlignment="1">
      <alignment horizontal="left" vertical="center" wrapText="1"/>
    </xf>
    <xf numFmtId="164" fontId="0" fillId="0" borderId="76" xfId="1" applyNumberFormat="1" applyFont="1" applyFill="1" applyBorder="1" applyAlignment="1">
      <alignment horizontal="left" vertical="center"/>
    </xf>
    <xf numFmtId="164" fontId="0" fillId="11" borderId="77" xfId="1" applyNumberFormat="1" applyFont="1" applyFill="1" applyBorder="1" applyAlignment="1">
      <alignment horizontal="left" vertical="center"/>
    </xf>
    <xf numFmtId="164" fontId="0" fillId="0" borderId="18" xfId="1" applyNumberFormat="1" applyFont="1" applyBorder="1" applyAlignment="1">
      <alignment horizontal="left" vertical="center" wrapText="1"/>
    </xf>
    <xf numFmtId="164" fontId="0" fillId="0" borderId="19" xfId="1" applyNumberFormat="1" applyFont="1" applyBorder="1" applyAlignment="1">
      <alignment horizontal="left" vertical="center" wrapText="1"/>
    </xf>
    <xf numFmtId="0" fontId="20" fillId="0" borderId="19" xfId="0" applyFont="1" applyBorder="1" applyAlignment="1">
      <alignment horizontal="left" vertical="top" wrapText="1"/>
    </xf>
    <xf numFmtId="0" fontId="20" fillId="0" borderId="24" xfId="0" applyFont="1" applyBorder="1" applyAlignment="1">
      <alignment horizontal="left" vertical="top" wrapText="1"/>
    </xf>
    <xf numFmtId="0" fontId="20" fillId="0" borderId="78" xfId="0" applyFont="1" applyBorder="1" applyAlignment="1">
      <alignment horizontal="left" vertical="top" wrapText="1"/>
    </xf>
    <xf numFmtId="0" fontId="20" fillId="0" borderId="98" xfId="0" applyFont="1" applyBorder="1" applyAlignment="1">
      <alignment horizontal="left" vertical="top" wrapText="1"/>
    </xf>
    <xf numFmtId="0" fontId="20" fillId="0" borderId="22"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3" fillId="11" borderId="18" xfId="0"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6"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0" fontId="20" fillId="0" borderId="18" xfId="0" applyFont="1" applyBorder="1" applyAlignment="1">
      <alignment horizontal="left" vertical="top" wrapText="1"/>
    </xf>
    <xf numFmtId="0" fontId="20" fillId="0" borderId="21" xfId="0" applyFont="1" applyBorder="1" applyAlignment="1">
      <alignment horizontal="left" vertical="top" wrapText="1"/>
    </xf>
    <xf numFmtId="167" fontId="23" fillId="11" borderId="18" xfId="0" applyNumberFormat="1" applyFont="1" applyFill="1" applyBorder="1" applyAlignment="1">
      <alignment horizontal="center" vertical="center" wrapText="1"/>
    </xf>
    <xf numFmtId="0" fontId="20" fillId="0" borderId="40" xfId="0" applyFont="1" applyBorder="1" applyAlignment="1">
      <alignment horizontal="left" vertical="center" wrapText="1"/>
    </xf>
    <xf numFmtId="0" fontId="20" fillId="0" borderId="6" xfId="0" applyFont="1" applyBorder="1" applyAlignment="1">
      <alignment horizontal="left" vertical="center" wrapText="1"/>
    </xf>
    <xf numFmtId="0" fontId="48" fillId="0" borderId="0" xfId="0" applyFont="1" applyAlignment="1">
      <alignment horizontal="center" vertical="center"/>
    </xf>
    <xf numFmtId="0" fontId="0" fillId="0" borderId="0" xfId="0" applyBorder="1" applyAlignment="1">
      <alignment horizontal="left" vertical="center"/>
    </xf>
    <xf numFmtId="174" fontId="14" fillId="0" borderId="0" xfId="1" applyNumberFormat="1" applyFont="1" applyBorder="1" applyAlignment="1">
      <alignment horizontal="right" vertical="center"/>
    </xf>
    <xf numFmtId="0" fontId="0" fillId="0" borderId="23" xfId="0" applyBorder="1" applyAlignment="1">
      <alignment horizontal="right" vertical="center"/>
    </xf>
    <xf numFmtId="0" fontId="5" fillId="0" borderId="0" xfId="0" applyFont="1" applyAlignment="1">
      <alignment horizontal="center"/>
    </xf>
    <xf numFmtId="0" fontId="0" fillId="0" borderId="0" xfId="0" applyBorder="1" applyAlignment="1">
      <alignment horizontal="left" vertical="center" wrapText="1"/>
    </xf>
    <xf numFmtId="0" fontId="0" fillId="0" borderId="21" xfId="0" applyBorder="1" applyAlignment="1">
      <alignment horizontal="left" vertical="center" wrapText="1"/>
    </xf>
    <xf numFmtId="0" fontId="19" fillId="0" borderId="0" xfId="0" applyFont="1" applyAlignment="1">
      <alignment horizontal="center" vertical="center"/>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45" fillId="0" borderId="18" xfId="0" applyFont="1" applyBorder="1" applyAlignment="1">
      <alignment horizontal="center" vertical="center" wrapText="1"/>
    </xf>
    <xf numFmtId="0" fontId="45" fillId="0" borderId="0" xfId="0" applyFont="1" applyBorder="1" applyAlignment="1">
      <alignment horizontal="center" vertical="center" wrapText="1"/>
    </xf>
    <xf numFmtId="0" fontId="21" fillId="0" borderId="0" xfId="0" applyFont="1" applyAlignment="1">
      <alignment horizontal="center"/>
    </xf>
    <xf numFmtId="0" fontId="23" fillId="0" borderId="0" xfId="0" applyFont="1" applyAlignment="1">
      <alignment horizontal="center"/>
    </xf>
    <xf numFmtId="0" fontId="0" fillId="0" borderId="52" xfId="0" applyFill="1" applyBorder="1" applyAlignment="1">
      <alignment horizontal="left" vertical="center" wrapText="1"/>
    </xf>
    <xf numFmtId="0" fontId="0" fillId="0" borderId="53" xfId="0" applyFill="1" applyBorder="1" applyAlignment="1">
      <alignment horizontal="left" vertical="center" wrapText="1"/>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0" fillId="0" borderId="42" xfId="0" applyBorder="1" applyAlignment="1">
      <alignment horizontal="left" vertical="center" wrapText="1"/>
    </xf>
    <xf numFmtId="0" fontId="2" fillId="12" borderId="51" xfId="0" applyFont="1" applyFill="1" applyBorder="1" applyAlignment="1">
      <alignment horizontal="left" vertical="center"/>
    </xf>
    <xf numFmtId="0" fontId="2" fillId="12" borderId="52" xfId="0" applyFont="1" applyFill="1" applyBorder="1" applyAlignment="1">
      <alignment horizontal="left" vertical="center"/>
    </xf>
    <xf numFmtId="0" fontId="0" fillId="0" borderId="55" xfId="0" applyBorder="1" applyAlignment="1">
      <alignment horizontal="left" vertical="top" wrapText="1"/>
    </xf>
    <xf numFmtId="0" fontId="0" fillId="0" borderId="56" xfId="0" applyBorder="1" applyAlignment="1">
      <alignment horizontal="left" vertical="top" wrapText="1"/>
    </xf>
    <xf numFmtId="0" fontId="2" fillId="0" borderId="0" xfId="0" applyFont="1" applyBorder="1" applyAlignment="1">
      <alignment horizontal="left" vertical="top" wrapText="1"/>
    </xf>
    <xf numFmtId="0" fontId="2" fillId="0" borderId="42" xfId="0" applyFont="1" applyBorder="1" applyAlignment="1">
      <alignment horizontal="left" vertical="top" wrapText="1"/>
    </xf>
    <xf numFmtId="0" fontId="2" fillId="0" borderId="8" xfId="0" applyFont="1" applyBorder="1" applyAlignment="1">
      <alignment horizontal="left" vertical="top" wrapText="1"/>
    </xf>
    <xf numFmtId="0" fontId="2" fillId="0" borderId="44" xfId="0" applyFont="1" applyBorder="1" applyAlignment="1">
      <alignment horizontal="left" vertical="top" wrapText="1"/>
    </xf>
    <xf numFmtId="0" fontId="2" fillId="0" borderId="70"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11" borderId="121" xfId="0" applyFont="1" applyFill="1" applyBorder="1" applyAlignment="1">
      <alignment horizontal="left" vertical="center"/>
    </xf>
    <xf numFmtId="0" fontId="2" fillId="11" borderId="120" xfId="0" applyFont="1" applyFill="1" applyBorder="1" applyAlignment="1">
      <alignment horizontal="left" vertical="center"/>
    </xf>
    <xf numFmtId="0" fontId="2" fillId="0" borderId="116" xfId="0" applyFont="1" applyBorder="1" applyAlignment="1">
      <alignment horizontal="center" vertical="center" textRotation="90" wrapText="1"/>
    </xf>
    <xf numFmtId="0" fontId="2" fillId="0" borderId="109" xfId="0" applyFont="1" applyBorder="1" applyAlignment="1">
      <alignment horizontal="center" vertical="center" textRotation="90" wrapText="1"/>
    </xf>
    <xf numFmtId="0" fontId="2" fillId="0" borderId="117"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5" xfId="0" applyFont="1" applyFill="1" applyBorder="1" applyAlignment="1">
      <alignment horizontal="left" vertical="center"/>
    </xf>
    <xf numFmtId="0" fontId="2" fillId="11" borderId="76" xfId="0" applyFont="1" applyFill="1" applyBorder="1" applyAlignment="1">
      <alignment horizontal="left" vertic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0" borderId="38" xfId="0" applyFont="1" applyBorder="1" applyAlignment="1">
      <alignment horizontal="center" vertical="center" textRotation="90"/>
    </xf>
    <xf numFmtId="0" fontId="2" fillId="0" borderId="47" xfId="0" applyFont="1" applyBorder="1" applyAlignment="1">
      <alignment horizontal="center" vertical="center" textRotation="90"/>
    </xf>
    <xf numFmtId="0" fontId="2" fillId="0" borderId="39" xfId="0" applyFont="1" applyBorder="1" applyAlignment="1">
      <alignment horizontal="center" vertical="center" textRotation="90"/>
    </xf>
    <xf numFmtId="0" fontId="2" fillId="0" borderId="45" xfId="0" applyFont="1" applyBorder="1" applyAlignment="1">
      <alignment horizontal="center" vertical="center" textRotation="90" wrapText="1"/>
    </xf>
    <xf numFmtId="0" fontId="2" fillId="0" borderId="4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64"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61" xfId="0" applyFont="1" applyBorder="1" applyAlignment="1">
      <alignment horizontal="center" vertical="center" textRotation="90"/>
    </xf>
    <xf numFmtId="0" fontId="2" fillId="11" borderId="119" xfId="0" applyFont="1" applyFill="1" applyBorder="1" applyAlignment="1">
      <alignment horizontal="left" vertical="center"/>
    </xf>
    <xf numFmtId="0" fontId="2" fillId="11" borderId="51" xfId="0" applyFont="1" applyFill="1" applyBorder="1" applyAlignment="1">
      <alignment horizontal="center" vertical="center"/>
    </xf>
    <xf numFmtId="0" fontId="2" fillId="11" borderId="5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4" fillId="0" borderId="0" xfId="0" applyFont="1" applyAlignment="1">
      <alignment horizontal="center"/>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6" xfId="0" applyFont="1" applyFill="1" applyBorder="1" applyAlignment="1">
      <alignment horizontal="center" vertical="center"/>
    </xf>
    <xf numFmtId="0" fontId="23" fillId="11" borderId="77" xfId="0" applyFont="1"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2" fillId="11" borderId="75" xfId="0" applyFont="1" applyFill="1" applyBorder="1" applyAlignment="1">
      <alignment horizontal="left" vertical="center"/>
    </xf>
    <xf numFmtId="0" fontId="22" fillId="11" borderId="76" xfId="0" applyFont="1" applyFill="1" applyBorder="1" applyAlignment="1">
      <alignment horizontal="left" vertical="center"/>
    </xf>
    <xf numFmtId="0" fontId="22" fillId="11" borderId="77" xfId="0" applyFont="1" applyFill="1" applyBorder="1" applyAlignment="1">
      <alignment horizontal="left" vertical="center"/>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5" fontId="7" fillId="0" borderId="75" xfId="0" applyNumberFormat="1" applyFont="1" applyFill="1" applyBorder="1" applyAlignment="1">
      <alignment horizontal="center" vertical="center"/>
    </xf>
    <xf numFmtId="5" fontId="7" fillId="0" borderId="76" xfId="0" applyNumberFormat="1" applyFont="1" applyFill="1" applyBorder="1" applyAlignment="1">
      <alignment horizontal="center" vertical="center"/>
    </xf>
    <xf numFmtId="5" fontId="7" fillId="0" borderId="7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5" fontId="38" fillId="0" borderId="0" xfId="0" applyNumberFormat="1" applyFont="1" applyAlignment="1">
      <alignment horizont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hartsheet" Target="chartsheets/sheet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177800</xdr:rowOff>
    </xdr:from>
    <xdr:to>
      <xdr:col>4</xdr:col>
      <xdr:colOff>6350</xdr:colOff>
      <xdr:row>20</xdr:row>
      <xdr:rowOff>6350</xdr:rowOff>
    </xdr:to>
    <xdr:cxnSp macro="">
      <xdr:nvCxnSpPr>
        <xdr:cNvPr id="3" name="Straight Connector 2"/>
        <xdr:cNvCxnSpPr/>
      </xdr:nvCxnSpPr>
      <xdr:spPr>
        <a:xfrm flipV="1">
          <a:off x="0" y="3975100"/>
          <a:ext cx="71310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B12" sqref="B12"/>
    </sheetView>
  </sheetViews>
  <sheetFormatPr defaultColWidth="9.08984375" defaultRowHeight="23.5" x14ac:dyDescent="0.55000000000000004"/>
  <cols>
    <col min="1" max="1" width="23.08984375" style="38" customWidth="1"/>
    <col min="2" max="16384" width="9.08984375" style="38"/>
  </cols>
  <sheetData>
    <row r="2" spans="1:3" x14ac:dyDescent="0.55000000000000004">
      <c r="A2" s="38" t="s">
        <v>120</v>
      </c>
      <c r="C2" s="39">
        <v>2024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99"/>
  <sheetViews>
    <sheetView showGridLines="0" topLeftCell="A32" workbookViewId="0">
      <selection activeCell="T5" sqref="T5"/>
    </sheetView>
  </sheetViews>
  <sheetFormatPr defaultRowHeight="14.5" x14ac:dyDescent="0.35"/>
  <cols>
    <col min="1" max="1" width="7.453125" style="110" customWidth="1"/>
    <col min="2" max="2" width="39.26953125" style="110" customWidth="1"/>
    <col min="3" max="4" width="9.54296875" style="110" hidden="1" customWidth="1"/>
    <col min="5" max="6" width="9.36328125" style="110" hidden="1" customWidth="1"/>
    <col min="7" max="8" width="9.36328125" style="110" customWidth="1"/>
    <col min="9" max="9" width="1.7265625" style="110" customWidth="1"/>
    <col min="10" max="10" width="4" style="110" customWidth="1"/>
    <col min="11" max="11" width="4.54296875" style="110" customWidth="1"/>
    <col min="12" max="12" width="4" style="110" customWidth="1"/>
    <col min="13" max="13" width="4.54296875" style="110" customWidth="1"/>
    <col min="14" max="14" width="4" style="110" customWidth="1"/>
    <col min="15" max="15" width="4.54296875" style="110" customWidth="1"/>
    <col min="16" max="16" width="4" style="110" customWidth="1"/>
    <col min="17" max="17" width="4.54296875" style="110" customWidth="1"/>
    <col min="18" max="18" width="5.6328125" style="110" customWidth="1"/>
    <col min="19" max="16384" width="8.7265625" style="110"/>
  </cols>
  <sheetData>
    <row r="1" spans="1:20" ht="21" x14ac:dyDescent="0.35">
      <c r="A1" s="1306" t="s">
        <v>245</v>
      </c>
      <c r="B1" s="1306"/>
      <c r="C1" s="1306"/>
      <c r="D1" s="1306"/>
      <c r="E1" s="1306"/>
      <c r="F1" s="1306"/>
      <c r="G1" s="1306"/>
      <c r="H1" s="1306"/>
      <c r="I1" s="1306"/>
      <c r="J1" s="1306"/>
      <c r="K1" s="1306"/>
      <c r="L1" s="1306"/>
      <c r="M1" s="1306"/>
      <c r="N1" s="1306"/>
      <c r="O1" s="1306"/>
      <c r="P1" s="1306"/>
      <c r="Q1" s="1306"/>
      <c r="R1" s="1306"/>
    </row>
    <row r="2" spans="1:20" ht="15" thickBot="1" x14ac:dyDescent="0.4"/>
    <row r="3" spans="1:20" ht="32.5" customHeight="1" thickTop="1" thickBot="1" x14ac:dyDescent="0.4">
      <c r="C3" s="434" t="s">
        <v>143</v>
      </c>
      <c r="D3" s="434" t="s">
        <v>224</v>
      </c>
      <c r="E3" s="435" t="s">
        <v>291</v>
      </c>
      <c r="F3" s="435" t="s">
        <v>375</v>
      </c>
      <c r="G3" s="1005" t="s">
        <v>490</v>
      </c>
      <c r="H3" s="946" t="s">
        <v>572</v>
      </c>
      <c r="I3" s="1360" t="s">
        <v>244</v>
      </c>
      <c r="J3" s="1360"/>
      <c r="K3" s="1360"/>
      <c r="L3" s="1360"/>
      <c r="M3" s="1360"/>
      <c r="N3" s="1360"/>
      <c r="O3" s="1360"/>
      <c r="P3" s="1360"/>
      <c r="Q3" s="1360"/>
      <c r="R3" s="1361"/>
    </row>
    <row r="4" spans="1:20" ht="15" thickTop="1" x14ac:dyDescent="0.35">
      <c r="A4" s="381"/>
      <c r="B4" s="273"/>
      <c r="C4" s="440"/>
      <c r="D4" s="441"/>
      <c r="E4" s="436"/>
      <c r="F4" s="436"/>
      <c r="G4" s="436"/>
      <c r="H4" s="436"/>
      <c r="I4" s="268"/>
      <c r="J4" s="280">
        <v>4</v>
      </c>
      <c r="K4" s="259" t="s">
        <v>180</v>
      </c>
      <c r="L4" s="280">
        <v>4</v>
      </c>
      <c r="M4" s="259" t="s">
        <v>183</v>
      </c>
      <c r="N4" s="280">
        <v>4</v>
      </c>
      <c r="O4" s="259" t="s">
        <v>178</v>
      </c>
      <c r="P4" s="280">
        <v>4</v>
      </c>
      <c r="Q4" s="259" t="s">
        <v>185</v>
      </c>
      <c r="R4" s="263"/>
    </row>
    <row r="5" spans="1:20" x14ac:dyDescent="0.35">
      <c r="A5" s="279"/>
      <c r="B5" s="259"/>
      <c r="C5" s="441"/>
      <c r="D5" s="441"/>
      <c r="E5" s="436"/>
      <c r="F5" s="436"/>
      <c r="G5" s="436"/>
      <c r="H5" s="436"/>
      <c r="I5" s="268"/>
      <c r="J5" s="280">
        <v>4</v>
      </c>
      <c r="K5" s="259" t="s">
        <v>181</v>
      </c>
      <c r="L5" s="280">
        <v>4</v>
      </c>
      <c r="M5" s="259" t="s">
        <v>176</v>
      </c>
      <c r="N5" s="280">
        <v>4</v>
      </c>
      <c r="O5" s="259" t="s">
        <v>184</v>
      </c>
      <c r="P5" s="280">
        <v>4</v>
      </c>
      <c r="Q5" s="259" t="s">
        <v>186</v>
      </c>
      <c r="R5" s="263"/>
    </row>
    <row r="6" spans="1:20" x14ac:dyDescent="0.35">
      <c r="A6" s="282" t="s">
        <v>174</v>
      </c>
      <c r="B6" s="283" t="s">
        <v>175</v>
      </c>
      <c r="C6" s="442">
        <v>52</v>
      </c>
      <c r="D6" s="442">
        <v>52</v>
      </c>
      <c r="E6" s="442">
        <v>52</v>
      </c>
      <c r="F6" s="442">
        <v>52</v>
      </c>
      <c r="G6" s="442">
        <v>53</v>
      </c>
      <c r="H6" s="437">
        <f>+SUM($J$4:$J$6)+SUM($L$4:$L$6)+SUM($N$4:$N$6)+SUM($P$4:$P$6)</f>
        <v>52</v>
      </c>
      <c r="I6" s="398"/>
      <c r="J6" s="284">
        <v>5</v>
      </c>
      <c r="K6" s="283" t="s">
        <v>182</v>
      </c>
      <c r="L6" s="284">
        <v>5</v>
      </c>
      <c r="M6" s="283" t="s">
        <v>177</v>
      </c>
      <c r="N6" s="284">
        <v>5</v>
      </c>
      <c r="O6" s="283" t="s">
        <v>179</v>
      </c>
      <c r="P6" s="284">
        <v>5</v>
      </c>
      <c r="Q6" s="283" t="s">
        <v>187</v>
      </c>
      <c r="R6" s="285"/>
    </row>
    <row r="7" spans="1:20" x14ac:dyDescent="0.35">
      <c r="A7" s="286"/>
      <c r="B7" s="287" t="s">
        <v>188</v>
      </c>
      <c r="C7" s="438">
        <v>4</v>
      </c>
      <c r="D7" s="438">
        <v>4</v>
      </c>
      <c r="E7" s="438">
        <v>4</v>
      </c>
      <c r="F7" s="438">
        <v>4</v>
      </c>
      <c r="G7" s="438">
        <v>4</v>
      </c>
      <c r="H7" s="438">
        <v>3</v>
      </c>
      <c r="I7" s="399"/>
      <c r="J7" s="287" t="s">
        <v>573</v>
      </c>
      <c r="K7" s="287"/>
      <c r="L7" s="287"/>
      <c r="M7" s="287"/>
      <c r="N7" s="287"/>
      <c r="O7" s="287"/>
      <c r="P7" s="287"/>
      <c r="Q7" s="287"/>
      <c r="R7" s="288"/>
    </row>
    <row r="8" spans="1:20" x14ac:dyDescent="0.35">
      <c r="A8" s="286"/>
      <c r="B8" s="287" t="s">
        <v>189</v>
      </c>
      <c r="C8" s="438">
        <v>6</v>
      </c>
      <c r="D8" s="438">
        <v>7</v>
      </c>
      <c r="E8" s="438">
        <v>7</v>
      </c>
      <c r="F8" s="438">
        <v>7</v>
      </c>
      <c r="G8" s="438">
        <v>7</v>
      </c>
      <c r="H8" s="438">
        <v>7</v>
      </c>
      <c r="I8" s="399"/>
      <c r="J8" s="287" t="s">
        <v>574</v>
      </c>
      <c r="K8" s="287"/>
      <c r="L8" s="287"/>
      <c r="M8" s="287"/>
      <c r="N8" s="287"/>
      <c r="O8" s="287"/>
      <c r="P8" s="287"/>
      <c r="Q8" s="287"/>
      <c r="R8" s="288"/>
    </row>
    <row r="9" spans="1:20" x14ac:dyDescent="0.35">
      <c r="A9" s="286"/>
      <c r="B9" s="287" t="s">
        <v>226</v>
      </c>
      <c r="C9" s="438">
        <v>1</v>
      </c>
      <c r="D9" s="438">
        <v>1</v>
      </c>
      <c r="E9" s="438">
        <v>1</v>
      </c>
      <c r="F9" s="438">
        <v>0</v>
      </c>
      <c r="G9" s="438">
        <v>1</v>
      </c>
      <c r="H9" s="438">
        <v>1</v>
      </c>
      <c r="I9" s="399"/>
      <c r="J9" s="287" t="s">
        <v>575</v>
      </c>
      <c r="K9" s="287"/>
      <c r="L9" s="287"/>
      <c r="M9" s="287"/>
      <c r="N9" s="287"/>
      <c r="O9" s="287"/>
      <c r="P9" s="287"/>
      <c r="Q9" s="287"/>
      <c r="R9" s="288"/>
    </row>
    <row r="10" spans="1:20" ht="15" thickBot="1" x14ac:dyDescent="0.4">
      <c r="A10" s="281"/>
      <c r="B10" s="269" t="s">
        <v>190</v>
      </c>
      <c r="C10" s="439">
        <v>15</v>
      </c>
      <c r="D10" s="439">
        <v>15</v>
      </c>
      <c r="E10" s="439">
        <v>15</v>
      </c>
      <c r="F10" s="439">
        <v>15</v>
      </c>
      <c r="G10" s="439">
        <v>15</v>
      </c>
      <c r="H10" s="439">
        <v>15</v>
      </c>
      <c r="I10" s="400"/>
      <c r="J10" s="269" t="s">
        <v>576</v>
      </c>
      <c r="K10" s="269"/>
      <c r="L10" s="269"/>
      <c r="M10" s="269"/>
      <c r="N10" s="269"/>
      <c r="O10" s="269"/>
      <c r="P10" s="269"/>
      <c r="Q10" s="269"/>
      <c r="R10" s="270"/>
    </row>
    <row r="11" spans="1:20" ht="16.5" customHeight="1" thickTop="1" thickBot="1" x14ac:dyDescent="0.4">
      <c r="A11" s="289"/>
    </row>
    <row r="12" spans="1:20" ht="49" customHeight="1" thickTop="1" thickBot="1" x14ac:dyDescent="0.4">
      <c r="A12" s="952" t="s">
        <v>172</v>
      </c>
      <c r="B12" s="949"/>
      <c r="C12" s="951">
        <v>3000</v>
      </c>
      <c r="D12" s="951">
        <v>3060</v>
      </c>
      <c r="E12" s="951">
        <v>3091</v>
      </c>
      <c r="F12" s="951">
        <v>3168</v>
      </c>
      <c r="G12" s="951">
        <v>3263</v>
      </c>
      <c r="H12" s="947">
        <f>ROUND(+G12*(1+'New Year-Full Year'!F63),0)</f>
        <v>3361</v>
      </c>
      <c r="I12" s="421"/>
      <c r="J12" s="1314" t="s">
        <v>259</v>
      </c>
      <c r="K12" s="1314"/>
      <c r="L12" s="1314"/>
      <c r="M12" s="1314"/>
      <c r="N12" s="1314"/>
      <c r="O12" s="1314"/>
      <c r="P12" s="1314"/>
      <c r="Q12" s="1314"/>
      <c r="R12" s="1315"/>
      <c r="T12" s="382"/>
    </row>
    <row r="13" spans="1:20" ht="15.5" thickTop="1" thickBot="1" x14ac:dyDescent="0.4">
      <c r="A13" s="1319" t="s">
        <v>500</v>
      </c>
      <c r="B13" s="1320"/>
      <c r="C13" s="1320"/>
      <c r="D13" s="1320"/>
      <c r="E13" s="1320"/>
      <c r="F13" s="949"/>
      <c r="G13" s="949"/>
      <c r="H13" s="949"/>
      <c r="I13" s="949"/>
      <c r="J13" s="949"/>
      <c r="K13" s="949"/>
      <c r="L13" s="949"/>
      <c r="M13" s="949"/>
      <c r="N13" s="949"/>
      <c r="O13" s="949"/>
      <c r="P13" s="949"/>
      <c r="Q13" s="949"/>
      <c r="R13" s="950"/>
    </row>
    <row r="14" spans="1:20" ht="15" customHeight="1" thickTop="1" x14ac:dyDescent="0.35">
      <c r="A14" s="1348" t="s">
        <v>420</v>
      </c>
      <c r="B14" s="272" t="s">
        <v>396</v>
      </c>
      <c r="C14" s="443">
        <v>37</v>
      </c>
      <c r="D14" s="443">
        <v>37</v>
      </c>
      <c r="E14" s="444">
        <f>+E6-E10</f>
        <v>37</v>
      </c>
      <c r="F14" s="444">
        <f>+F6-F10</f>
        <v>37</v>
      </c>
      <c r="G14" s="444">
        <f>+G6-G10</f>
        <v>38</v>
      </c>
      <c r="H14" s="444">
        <f>+H6-H10</f>
        <v>37</v>
      </c>
      <c r="I14" s="401"/>
      <c r="J14" s="1321" t="s">
        <v>209</v>
      </c>
      <c r="K14" s="1321"/>
      <c r="L14" s="1321"/>
      <c r="M14" s="1321"/>
      <c r="N14" s="1321"/>
      <c r="O14" s="1321"/>
      <c r="P14" s="1321"/>
      <c r="Q14" s="1321"/>
      <c r="R14" s="1322"/>
    </row>
    <row r="15" spans="1:20" ht="14.5" customHeight="1" x14ac:dyDescent="0.35">
      <c r="A15" s="1349"/>
      <c r="B15" s="258" t="s">
        <v>388</v>
      </c>
      <c r="C15" s="445">
        <v>1</v>
      </c>
      <c r="D15" s="445">
        <v>1</v>
      </c>
      <c r="E15" s="445">
        <v>1</v>
      </c>
      <c r="F15" s="445">
        <v>1</v>
      </c>
      <c r="G15" s="445">
        <v>1</v>
      </c>
      <c r="H15" s="445">
        <v>1</v>
      </c>
      <c r="I15" s="402"/>
      <c r="J15" s="1323" t="s">
        <v>516</v>
      </c>
      <c r="K15" s="1323"/>
      <c r="L15" s="1323"/>
      <c r="M15" s="1323"/>
      <c r="N15" s="1323"/>
      <c r="O15" s="1323"/>
      <c r="P15" s="1323"/>
      <c r="Q15" s="1323"/>
      <c r="R15" s="1324"/>
    </row>
    <row r="16" spans="1:20" x14ac:dyDescent="0.35">
      <c r="A16" s="1349"/>
      <c r="B16" s="264" t="s">
        <v>580</v>
      </c>
      <c r="C16" s="446">
        <f t="shared" ref="C16:H16" si="0">+C14*C15</f>
        <v>37</v>
      </c>
      <c r="D16" s="446">
        <f t="shared" si="0"/>
        <v>37</v>
      </c>
      <c r="E16" s="446">
        <f t="shared" si="0"/>
        <v>37</v>
      </c>
      <c r="F16" s="446">
        <f t="shared" si="0"/>
        <v>37</v>
      </c>
      <c r="G16" s="446">
        <f t="shared" si="0"/>
        <v>38</v>
      </c>
      <c r="H16" s="446">
        <f t="shared" si="0"/>
        <v>37</v>
      </c>
      <c r="I16" s="403"/>
      <c r="J16" s="1325"/>
      <c r="K16" s="1325"/>
      <c r="L16" s="1325"/>
      <c r="M16" s="1325"/>
      <c r="N16" s="1325"/>
      <c r="O16" s="1325"/>
      <c r="P16" s="1325"/>
      <c r="Q16" s="1325"/>
      <c r="R16" s="1326"/>
    </row>
    <row r="17" spans="1:18" x14ac:dyDescent="0.35">
      <c r="A17" s="1350"/>
      <c r="B17" s="261" t="s">
        <v>392</v>
      </c>
      <c r="C17" s="447"/>
      <c r="D17" s="447"/>
      <c r="E17" s="447"/>
      <c r="F17" s="447"/>
      <c r="G17" s="447"/>
      <c r="H17" s="1006"/>
      <c r="I17" s="404"/>
      <c r="J17" s="123"/>
      <c r="K17" s="123"/>
      <c r="L17" s="176"/>
      <c r="M17" s="123"/>
      <c r="N17" s="176"/>
      <c r="O17" s="123"/>
      <c r="P17" s="176"/>
      <c r="Q17" s="123"/>
      <c r="R17" s="262"/>
    </row>
    <row r="18" spans="1:18" x14ac:dyDescent="0.35">
      <c r="A18" s="1350"/>
      <c r="B18" s="258" t="s">
        <v>389</v>
      </c>
      <c r="C18" s="445">
        <v>0</v>
      </c>
      <c r="D18" s="445">
        <v>0</v>
      </c>
      <c r="E18" s="445">
        <v>0</v>
      </c>
      <c r="F18" s="445">
        <v>4</v>
      </c>
      <c r="G18" s="448">
        <f>+G7</f>
        <v>4</v>
      </c>
      <c r="H18" s="448">
        <f>+H7</f>
        <v>3</v>
      </c>
      <c r="I18" s="402"/>
      <c r="J18" s="259" t="s">
        <v>385</v>
      </c>
      <c r="K18" s="155"/>
      <c r="M18" s="259"/>
      <c r="N18" s="155"/>
      <c r="O18" s="259"/>
      <c r="P18" s="155"/>
      <c r="Q18" s="259"/>
      <c r="R18" s="263"/>
    </row>
    <row r="19" spans="1:18" x14ac:dyDescent="0.35">
      <c r="A19" s="1350"/>
      <c r="B19" s="258" t="s">
        <v>390</v>
      </c>
      <c r="C19" s="448">
        <f>+C8</f>
        <v>6</v>
      </c>
      <c r="D19" s="448">
        <f>+D8</f>
        <v>7</v>
      </c>
      <c r="E19" s="448">
        <f>+E8</f>
        <v>7</v>
      </c>
      <c r="F19" s="448">
        <f>+F8</f>
        <v>7</v>
      </c>
      <c r="G19" s="448">
        <f>+G8</f>
        <v>7</v>
      </c>
      <c r="H19" s="448">
        <f>+H8</f>
        <v>7</v>
      </c>
      <c r="I19" s="405"/>
      <c r="J19" s="259" t="s">
        <v>191</v>
      </c>
      <c r="L19" s="155"/>
      <c r="M19" s="259"/>
      <c r="N19" s="155"/>
      <c r="O19" s="259"/>
      <c r="P19" s="155"/>
      <c r="Q19" s="259"/>
      <c r="R19" s="263"/>
    </row>
    <row r="20" spans="1:18" hidden="1" x14ac:dyDescent="0.35">
      <c r="A20" s="1350"/>
      <c r="B20" s="258" t="s">
        <v>391</v>
      </c>
      <c r="C20" s="448">
        <f t="shared" ref="C20:H20" si="1">SUM(C16:C19)</f>
        <v>43</v>
      </c>
      <c r="D20" s="448">
        <f t="shared" si="1"/>
        <v>44</v>
      </c>
      <c r="E20" s="448">
        <f t="shared" si="1"/>
        <v>44</v>
      </c>
      <c r="F20" s="448">
        <f t="shared" si="1"/>
        <v>48</v>
      </c>
      <c r="G20" s="448">
        <f t="shared" si="1"/>
        <v>49</v>
      </c>
      <c r="H20" s="448">
        <f t="shared" si="1"/>
        <v>47</v>
      </c>
      <c r="I20" s="405"/>
      <c r="J20" s="259"/>
      <c r="K20" s="259"/>
      <c r="L20" s="155"/>
      <c r="M20" s="259"/>
      <c r="N20" s="155"/>
      <c r="O20" s="259"/>
      <c r="P20" s="155"/>
      <c r="Q20" s="259"/>
      <c r="R20" s="263"/>
    </row>
    <row r="21" spans="1:18" hidden="1" x14ac:dyDescent="0.35">
      <c r="A21" s="1350"/>
      <c r="B21" s="258" t="s">
        <v>196</v>
      </c>
      <c r="C21" s="448">
        <f>C14</f>
        <v>37</v>
      </c>
      <c r="D21" s="448">
        <f>D14</f>
        <v>37</v>
      </c>
      <c r="E21" s="448">
        <f>E14</f>
        <v>37</v>
      </c>
      <c r="F21" s="448">
        <f>F14</f>
        <v>37</v>
      </c>
      <c r="G21" s="448">
        <v>0</v>
      </c>
      <c r="H21" s="445">
        <v>0</v>
      </c>
      <c r="I21" s="405"/>
      <c r="J21" s="259" t="s">
        <v>393</v>
      </c>
      <c r="L21" s="155"/>
      <c r="M21" s="259"/>
      <c r="N21" s="155"/>
      <c r="O21" s="259"/>
      <c r="P21" s="155"/>
      <c r="Q21" s="259"/>
      <c r="R21" s="263"/>
    </row>
    <row r="22" spans="1:18" x14ac:dyDescent="0.35">
      <c r="A22" s="1350"/>
      <c r="B22" s="264" t="s">
        <v>391</v>
      </c>
      <c r="C22" s="449">
        <f t="shared" ref="C22:H22" si="2">+C20+C21</f>
        <v>80</v>
      </c>
      <c r="D22" s="449">
        <f t="shared" si="2"/>
        <v>81</v>
      </c>
      <c r="E22" s="449">
        <f t="shared" si="2"/>
        <v>81</v>
      </c>
      <c r="F22" s="449">
        <f t="shared" si="2"/>
        <v>85</v>
      </c>
      <c r="G22" s="449">
        <f t="shared" si="2"/>
        <v>49</v>
      </c>
      <c r="H22" s="1009">
        <f t="shared" si="2"/>
        <v>47</v>
      </c>
      <c r="I22" s="406"/>
      <c r="J22" s="265"/>
      <c r="K22" s="265"/>
      <c r="L22" s="266"/>
      <c r="M22" s="265"/>
      <c r="N22" s="266"/>
      <c r="O22" s="265"/>
      <c r="P22" s="266"/>
      <c r="Q22" s="265"/>
      <c r="R22" s="267"/>
    </row>
    <row r="23" spans="1:18" x14ac:dyDescent="0.35">
      <c r="A23" s="1351" t="s">
        <v>194</v>
      </c>
      <c r="B23" s="123" t="s">
        <v>201</v>
      </c>
      <c r="C23" s="447">
        <v>6</v>
      </c>
      <c r="D23" s="447">
        <v>6</v>
      </c>
      <c r="E23" s="447">
        <v>6</v>
      </c>
      <c r="F23" s="447">
        <v>5</v>
      </c>
      <c r="G23" s="447">
        <v>5</v>
      </c>
      <c r="H23" s="447">
        <v>5</v>
      </c>
      <c r="I23" s="404"/>
      <c r="J23" s="123" t="s">
        <v>386</v>
      </c>
      <c r="K23" s="123"/>
      <c r="L23" s="176"/>
      <c r="M23" s="123"/>
      <c r="N23" s="176"/>
      <c r="O23" s="123"/>
      <c r="P23" s="176"/>
      <c r="Q23" s="123"/>
      <c r="R23" s="262"/>
    </row>
    <row r="24" spans="1:18" x14ac:dyDescent="0.35">
      <c r="A24" s="1352"/>
      <c r="B24" s="259" t="s">
        <v>394</v>
      </c>
      <c r="C24" s="445">
        <v>0</v>
      </c>
      <c r="D24" s="445">
        <v>3</v>
      </c>
      <c r="E24" s="445">
        <v>3</v>
      </c>
      <c r="F24" s="445">
        <v>3</v>
      </c>
      <c r="G24" s="445">
        <v>3</v>
      </c>
      <c r="H24" s="445">
        <v>3</v>
      </c>
      <c r="I24" s="402"/>
      <c r="J24" s="259"/>
      <c r="L24" s="155"/>
      <c r="M24" s="259"/>
      <c r="N24" s="155"/>
      <c r="O24" s="259"/>
      <c r="P24" s="155"/>
      <c r="Q24" s="259"/>
      <c r="R24" s="263"/>
    </row>
    <row r="25" spans="1:18" hidden="1" x14ac:dyDescent="0.35">
      <c r="A25" s="1352"/>
      <c r="B25" s="259" t="s">
        <v>193</v>
      </c>
      <c r="C25" s="450">
        <v>25</v>
      </c>
      <c r="D25" s="450">
        <v>25</v>
      </c>
      <c r="E25" s="450">
        <v>25</v>
      </c>
      <c r="F25" s="450">
        <v>25</v>
      </c>
      <c r="G25" s="450">
        <v>0</v>
      </c>
      <c r="H25" s="450">
        <v>0</v>
      </c>
      <c r="I25" s="407"/>
      <c r="J25" s="259"/>
      <c r="K25" s="259"/>
      <c r="L25" s="155"/>
      <c r="M25" s="259"/>
      <c r="N25" s="155"/>
      <c r="O25" s="259"/>
      <c r="P25" s="155"/>
      <c r="Q25" s="259"/>
      <c r="R25" s="263"/>
    </row>
    <row r="26" spans="1:18" x14ac:dyDescent="0.35">
      <c r="A26" s="1353"/>
      <c r="B26" s="265" t="s">
        <v>395</v>
      </c>
      <c r="C26" s="451">
        <v>30</v>
      </c>
      <c r="D26" s="451">
        <v>30</v>
      </c>
      <c r="E26" s="451">
        <v>30</v>
      </c>
      <c r="F26" s="451">
        <v>35</v>
      </c>
      <c r="G26" s="451">
        <v>60</v>
      </c>
      <c r="H26" s="1010">
        <f>+ROUND((G26*(1+'New Year-Full Year'!F63)),0)</f>
        <v>62</v>
      </c>
      <c r="I26" s="408"/>
      <c r="J26" s="265" t="s">
        <v>492</v>
      </c>
      <c r="K26" s="265"/>
      <c r="L26" s="266"/>
      <c r="M26" s="265"/>
      <c r="N26" s="266"/>
      <c r="O26" s="265"/>
      <c r="P26" s="266"/>
      <c r="Q26" s="265"/>
      <c r="R26" s="267"/>
    </row>
    <row r="27" spans="1:18" ht="14.5" hidden="1" customHeight="1" x14ac:dyDescent="0.35">
      <c r="A27" s="1012" t="s">
        <v>195</v>
      </c>
      <c r="B27" s="123" t="s">
        <v>192</v>
      </c>
      <c r="C27" s="452">
        <f>+C21*C23*C25</f>
        <v>5550</v>
      </c>
      <c r="D27" s="452">
        <f>(+D21*D23*D25)+(D24*2*D25)</f>
        <v>5700</v>
      </c>
      <c r="E27" s="452">
        <f>(+E21*E23*E25)+(E24*2*E25)</f>
        <v>5700</v>
      </c>
      <c r="F27" s="452">
        <f>(+F21*F23*F25)+(F24*2*F25)</f>
        <v>4775</v>
      </c>
      <c r="G27" s="452">
        <f>(+G21*G23*G25)+(G24*2*G25)</f>
        <v>0</v>
      </c>
      <c r="H27" s="1007">
        <f>(+H21*H23*H25)+(H24*2*H25)</f>
        <v>0</v>
      </c>
      <c r="I27" s="409"/>
      <c r="J27" s="123"/>
      <c r="K27" s="123"/>
      <c r="L27" s="176"/>
      <c r="M27" s="123"/>
      <c r="N27" s="176"/>
      <c r="O27" s="123"/>
      <c r="P27" s="176"/>
      <c r="Q27" s="123"/>
      <c r="R27" s="262"/>
    </row>
    <row r="28" spans="1:18" ht="14.5" customHeight="1" thickBot="1" x14ac:dyDescent="0.4">
      <c r="A28" s="1021"/>
      <c r="B28" s="912" t="s">
        <v>581</v>
      </c>
      <c r="C28" s="453">
        <f>+C20*C23*C26</f>
        <v>7740</v>
      </c>
      <c r="D28" s="453">
        <f>(+D20*D23*D26)+(D24*2*D26)</f>
        <v>8100</v>
      </c>
      <c r="E28" s="453">
        <f>(+E20*E23*E26)+(E24*2*E26)</f>
        <v>8100</v>
      </c>
      <c r="F28" s="453">
        <f>(+F20*F23*F26)+(F24*2*F26)</f>
        <v>8610</v>
      </c>
      <c r="G28" s="453">
        <f>+(G22*G23*G26)+(G24*2*G26)</f>
        <v>15060</v>
      </c>
      <c r="H28" s="453">
        <f>+(H22*H23*H26)+(H24*2*H26)</f>
        <v>14942</v>
      </c>
      <c r="I28" s="410"/>
      <c r="J28" s="912"/>
      <c r="K28" s="259"/>
      <c r="L28" s="155"/>
      <c r="M28" s="268"/>
      <c r="N28" s="155"/>
      <c r="O28" s="259"/>
      <c r="P28" s="155"/>
      <c r="Q28" s="259"/>
      <c r="R28" s="263"/>
    </row>
    <row r="29" spans="1:18" ht="15" customHeight="1" x14ac:dyDescent="0.35">
      <c r="A29" s="1327" t="s">
        <v>202</v>
      </c>
      <c r="B29" s="293" t="s">
        <v>577</v>
      </c>
      <c r="C29" s="468">
        <v>2</v>
      </c>
      <c r="D29" s="468">
        <v>2</v>
      </c>
      <c r="E29" s="468">
        <v>2</v>
      </c>
      <c r="F29" s="468">
        <v>2</v>
      </c>
      <c r="G29" s="1013">
        <v>0</v>
      </c>
      <c r="H29" s="1013">
        <v>1</v>
      </c>
      <c r="I29" s="419"/>
      <c r="J29" s="293"/>
      <c r="K29" s="293"/>
      <c r="L29" s="294"/>
      <c r="M29" s="293"/>
      <c r="N29" s="294"/>
      <c r="O29" s="293"/>
      <c r="P29" s="294"/>
      <c r="Q29" s="293"/>
      <c r="R29" s="295"/>
    </row>
    <row r="30" spans="1:18" ht="15" customHeight="1" x14ac:dyDescent="0.35">
      <c r="A30" s="1329"/>
      <c r="B30" s="259" t="s">
        <v>206</v>
      </c>
      <c r="C30" s="1014">
        <v>25</v>
      </c>
      <c r="D30" s="1014">
        <v>25</v>
      </c>
      <c r="E30" s="1014">
        <v>25</v>
      </c>
      <c r="F30" s="1014">
        <v>25</v>
      </c>
      <c r="G30" s="450">
        <v>0</v>
      </c>
      <c r="H30" s="453">
        <f>+H26</f>
        <v>62</v>
      </c>
      <c r="I30" s="1015"/>
      <c r="J30" s="259"/>
      <c r="K30" s="259"/>
      <c r="L30" s="155"/>
      <c r="M30" s="259"/>
      <c r="N30" s="155"/>
      <c r="O30" s="259"/>
      <c r="P30" s="155"/>
      <c r="Q30" s="259"/>
      <c r="R30" s="263"/>
    </row>
    <row r="31" spans="1:18" ht="15" thickBot="1" x14ac:dyDescent="0.4">
      <c r="A31" s="1016" t="s">
        <v>195</v>
      </c>
      <c r="B31" s="1017" t="s">
        <v>605</v>
      </c>
      <c r="C31" s="1018">
        <f t="shared" ref="C31:H31" si="3">+C22*C29*C30</f>
        <v>4000</v>
      </c>
      <c r="D31" s="1018">
        <f t="shared" si="3"/>
        <v>4050</v>
      </c>
      <c r="E31" s="1018">
        <f t="shared" si="3"/>
        <v>4050</v>
      </c>
      <c r="F31" s="1018">
        <f t="shared" si="3"/>
        <v>4250</v>
      </c>
      <c r="G31" s="1020">
        <f t="shared" si="3"/>
        <v>0</v>
      </c>
      <c r="H31" s="1020">
        <f t="shared" si="3"/>
        <v>2914</v>
      </c>
      <c r="I31" s="894"/>
      <c r="J31" s="895"/>
      <c r="K31" s="895"/>
      <c r="L31" s="895"/>
      <c r="M31" s="895"/>
      <c r="N31" s="895"/>
      <c r="O31" s="895"/>
      <c r="P31" s="895"/>
      <c r="Q31" s="895"/>
      <c r="R31" s="1019"/>
    </row>
    <row r="32" spans="1:18" ht="15" thickBot="1" x14ac:dyDescent="0.4">
      <c r="A32" s="1022"/>
      <c r="B32" s="432" t="s">
        <v>197</v>
      </c>
      <c r="C32" s="454">
        <f>+C27+C28</f>
        <v>13290</v>
      </c>
      <c r="D32" s="454">
        <f>+D27+D28</f>
        <v>13800</v>
      </c>
      <c r="E32" s="455">
        <f>+E27+E28</f>
        <v>13800</v>
      </c>
      <c r="F32" s="948">
        <f>+F27+F28</f>
        <v>13385</v>
      </c>
      <c r="G32" s="948">
        <f>+G28+G31</f>
        <v>15060</v>
      </c>
      <c r="H32" s="948">
        <f>+H28+H31</f>
        <v>17856</v>
      </c>
      <c r="I32" s="422"/>
      <c r="J32" s="384"/>
      <c r="K32" s="384"/>
      <c r="L32" s="384"/>
      <c r="M32" s="384"/>
      <c r="N32" s="384"/>
      <c r="O32" s="384"/>
      <c r="P32" s="384"/>
      <c r="Q32" s="384"/>
      <c r="R32" s="423"/>
    </row>
    <row r="33" spans="1:18" ht="15.5" thickTop="1" thickBot="1" x14ac:dyDescent="0.4">
      <c r="A33" s="1319" t="s">
        <v>501</v>
      </c>
      <c r="B33" s="1320"/>
      <c r="C33" s="1320"/>
      <c r="D33" s="1320"/>
      <c r="E33" s="1320"/>
      <c r="F33" s="949"/>
      <c r="G33" s="949"/>
      <c r="H33" s="949"/>
      <c r="I33" s="949"/>
      <c r="J33" s="949"/>
      <c r="K33" s="949"/>
      <c r="L33" s="949"/>
      <c r="M33" s="949"/>
      <c r="N33" s="949"/>
      <c r="O33" s="949"/>
      <c r="P33" s="949"/>
      <c r="Q33" s="949"/>
      <c r="R33" s="950"/>
    </row>
    <row r="34" spans="1:18" ht="15.5" thickTop="1" thickBot="1" x14ac:dyDescent="0.4">
      <c r="A34" s="1357" t="s">
        <v>211</v>
      </c>
      <c r="B34" s="1331"/>
      <c r="C34" s="1331"/>
      <c r="D34" s="1331"/>
      <c r="E34" s="1331"/>
      <c r="F34" s="954"/>
      <c r="G34" s="954"/>
      <c r="H34" s="954"/>
      <c r="I34" s="954"/>
      <c r="J34" s="954"/>
      <c r="K34" s="954"/>
      <c r="L34" s="954"/>
      <c r="M34" s="954"/>
      <c r="N34" s="954"/>
      <c r="O34" s="954"/>
      <c r="P34" s="954"/>
      <c r="Q34" s="954"/>
      <c r="R34" s="955"/>
    </row>
    <row r="35" spans="1:18" ht="15" customHeight="1" x14ac:dyDescent="0.35">
      <c r="A35" s="1329" t="s">
        <v>420</v>
      </c>
      <c r="B35" s="259" t="s">
        <v>387</v>
      </c>
      <c r="C35" s="460">
        <f t="shared" ref="C35:H35" si="4">+C10</f>
        <v>15</v>
      </c>
      <c r="D35" s="460">
        <f t="shared" si="4"/>
        <v>15</v>
      </c>
      <c r="E35" s="460">
        <f t="shared" si="4"/>
        <v>15</v>
      </c>
      <c r="F35" s="460">
        <f t="shared" si="4"/>
        <v>15</v>
      </c>
      <c r="G35" s="460">
        <f t="shared" si="4"/>
        <v>15</v>
      </c>
      <c r="H35" s="460">
        <f t="shared" si="4"/>
        <v>15</v>
      </c>
      <c r="I35" s="415"/>
      <c r="J35" s="1304" t="str">
        <f>+J10</f>
        <v>Memorial Day May 27 - Labor Day Sept 2, 2024</v>
      </c>
      <c r="K35" s="1304"/>
      <c r="L35" s="1304"/>
      <c r="M35" s="1304"/>
      <c r="N35" s="1304"/>
      <c r="O35" s="1304"/>
      <c r="P35" s="1304"/>
      <c r="Q35" s="1304"/>
      <c r="R35" s="1318"/>
    </row>
    <row r="36" spans="1:18" x14ac:dyDescent="0.35">
      <c r="A36" s="1329"/>
      <c r="B36" s="259" t="s">
        <v>388</v>
      </c>
      <c r="C36" s="457">
        <v>1</v>
      </c>
      <c r="D36" s="457">
        <v>1</v>
      </c>
      <c r="E36" s="457">
        <v>1</v>
      </c>
      <c r="F36" s="457">
        <v>1</v>
      </c>
      <c r="G36" s="457">
        <v>1</v>
      </c>
      <c r="H36" s="457">
        <v>1</v>
      </c>
      <c r="I36" s="412"/>
      <c r="J36" s="1304"/>
      <c r="K36" s="1304"/>
      <c r="L36" s="1304"/>
      <c r="M36" s="1304"/>
      <c r="N36" s="1304"/>
      <c r="O36" s="1304"/>
      <c r="P36" s="1304"/>
      <c r="Q36" s="1304"/>
      <c r="R36" s="1318"/>
    </row>
    <row r="37" spans="1:18" x14ac:dyDescent="0.35">
      <c r="A37" s="1328"/>
      <c r="B37" s="265" t="s">
        <v>399</v>
      </c>
      <c r="C37" s="458">
        <f t="shared" ref="C37:H37" si="5">+C35*C36</f>
        <v>15</v>
      </c>
      <c r="D37" s="458">
        <f t="shared" si="5"/>
        <v>15</v>
      </c>
      <c r="E37" s="458">
        <f t="shared" si="5"/>
        <v>15</v>
      </c>
      <c r="F37" s="458">
        <f t="shared" si="5"/>
        <v>15</v>
      </c>
      <c r="G37" s="458">
        <f t="shared" si="5"/>
        <v>15</v>
      </c>
      <c r="H37" s="458">
        <f t="shared" si="5"/>
        <v>15</v>
      </c>
      <c r="I37" s="413"/>
      <c r="J37" s="265"/>
      <c r="K37" s="265"/>
      <c r="L37" s="266"/>
      <c r="M37" s="265"/>
      <c r="N37" s="266"/>
      <c r="O37" s="265"/>
      <c r="P37" s="266"/>
      <c r="Q37" s="265"/>
      <c r="R37" s="267"/>
    </row>
    <row r="38" spans="1:18" x14ac:dyDescent="0.35">
      <c r="A38" s="1345" t="s">
        <v>202</v>
      </c>
      <c r="B38" s="123" t="s">
        <v>400</v>
      </c>
      <c r="C38" s="463">
        <v>3</v>
      </c>
      <c r="D38" s="463">
        <v>3</v>
      </c>
      <c r="E38" s="463">
        <v>3</v>
      </c>
      <c r="F38" s="463">
        <v>3</v>
      </c>
      <c r="G38" s="463">
        <v>3</v>
      </c>
      <c r="H38" s="463">
        <v>3</v>
      </c>
      <c r="I38" s="133"/>
      <c r="J38" s="123" t="s">
        <v>203</v>
      </c>
      <c r="L38" s="176"/>
      <c r="M38" s="123"/>
      <c r="N38" s="176"/>
      <c r="O38" s="123"/>
      <c r="P38" s="176"/>
      <c r="Q38" s="123"/>
      <c r="R38" s="262"/>
    </row>
    <row r="39" spans="1:18" x14ac:dyDescent="0.35">
      <c r="A39" s="1328"/>
      <c r="B39" s="265" t="s">
        <v>401</v>
      </c>
      <c r="C39" s="464">
        <v>50</v>
      </c>
      <c r="D39" s="464">
        <v>50</v>
      </c>
      <c r="E39" s="464">
        <v>50</v>
      </c>
      <c r="F39" s="464">
        <v>50</v>
      </c>
      <c r="G39" s="464">
        <v>60</v>
      </c>
      <c r="H39" s="1011">
        <f>+H26</f>
        <v>62</v>
      </c>
      <c r="I39" s="417"/>
      <c r="J39" s="265"/>
      <c r="K39" s="265"/>
      <c r="L39" s="266"/>
      <c r="M39" s="265"/>
      <c r="N39" s="266"/>
      <c r="O39" s="265"/>
      <c r="P39" s="266"/>
      <c r="Q39" s="265"/>
      <c r="R39" s="267"/>
    </row>
    <row r="40" spans="1:18" ht="15" thickBot="1" x14ac:dyDescent="0.4">
      <c r="A40" s="292" t="s">
        <v>195</v>
      </c>
      <c r="B40" s="290" t="s">
        <v>205</v>
      </c>
      <c r="C40" s="467">
        <f t="shared" ref="C40:H40" si="6">+C37*C38*C39</f>
        <v>2250</v>
      </c>
      <c r="D40" s="467">
        <f t="shared" si="6"/>
        <v>2250</v>
      </c>
      <c r="E40" s="467">
        <f t="shared" si="6"/>
        <v>2250</v>
      </c>
      <c r="F40" s="467">
        <f t="shared" si="6"/>
        <v>2250</v>
      </c>
      <c r="G40" s="467">
        <f t="shared" si="6"/>
        <v>2700</v>
      </c>
      <c r="H40" s="467">
        <f t="shared" si="6"/>
        <v>2790</v>
      </c>
      <c r="I40" s="418"/>
      <c r="J40" s="176"/>
      <c r="K40" s="176"/>
      <c r="L40" s="176"/>
      <c r="M40" s="176"/>
      <c r="N40" s="176"/>
      <c r="O40" s="176"/>
      <c r="P40" s="176"/>
      <c r="Q40" s="176"/>
      <c r="R40" s="291"/>
    </row>
    <row r="41" spans="1:18" ht="15" customHeight="1" x14ac:dyDescent="0.35">
      <c r="A41" s="1327" t="s">
        <v>202</v>
      </c>
      <c r="B41" s="293" t="s">
        <v>207</v>
      </c>
      <c r="C41" s="468">
        <v>2</v>
      </c>
      <c r="D41" s="468">
        <v>2</v>
      </c>
      <c r="E41" s="468">
        <v>2</v>
      </c>
      <c r="F41" s="468">
        <v>2</v>
      </c>
      <c r="G41" s="468">
        <v>0</v>
      </c>
      <c r="H41" s="468">
        <v>2</v>
      </c>
      <c r="I41" s="419"/>
      <c r="J41" s="293" t="s">
        <v>203</v>
      </c>
      <c r="K41" s="293"/>
      <c r="L41" s="294"/>
      <c r="M41" s="293"/>
      <c r="N41" s="294"/>
      <c r="O41" s="293"/>
      <c r="P41" s="294"/>
      <c r="Q41" s="293"/>
      <c r="R41" s="295"/>
    </row>
    <row r="42" spans="1:18" ht="15" customHeight="1" x14ac:dyDescent="0.35">
      <c r="A42" s="1328"/>
      <c r="B42" s="265" t="s">
        <v>206</v>
      </c>
      <c r="C42" s="464">
        <v>25</v>
      </c>
      <c r="D42" s="464">
        <v>25</v>
      </c>
      <c r="E42" s="464">
        <v>25</v>
      </c>
      <c r="F42" s="464">
        <v>25</v>
      </c>
      <c r="G42" s="464">
        <v>25</v>
      </c>
      <c r="H42" s="464">
        <v>25</v>
      </c>
      <c r="I42" s="417"/>
      <c r="J42" s="265"/>
      <c r="K42" s="265"/>
      <c r="L42" s="266"/>
      <c r="M42" s="265"/>
      <c r="N42" s="266"/>
      <c r="O42" s="265"/>
      <c r="P42" s="266"/>
      <c r="Q42" s="265"/>
      <c r="R42" s="267"/>
    </row>
    <row r="43" spans="1:18" ht="15" thickBot="1" x14ac:dyDescent="0.4">
      <c r="A43" s="296" t="s">
        <v>195</v>
      </c>
      <c r="B43" s="297" t="s">
        <v>208</v>
      </c>
      <c r="C43" s="469">
        <f>+C35*C41*C42</f>
        <v>750</v>
      </c>
      <c r="D43" s="469">
        <f>+D35*D41*D42</f>
        <v>750</v>
      </c>
      <c r="E43" s="469">
        <f>+E35*E41*E42</f>
        <v>750</v>
      </c>
      <c r="F43" s="469">
        <f>+F35*F41*F42</f>
        <v>750</v>
      </c>
      <c r="G43" s="469">
        <f>+G75*G41*G42</f>
        <v>0</v>
      </c>
      <c r="H43" s="469">
        <f>+H37*H41*H42</f>
        <v>750</v>
      </c>
      <c r="I43" s="420"/>
      <c r="J43" s="298"/>
      <c r="K43" s="298"/>
      <c r="L43" s="298"/>
      <c r="M43" s="298"/>
      <c r="N43" s="298"/>
      <c r="O43" s="298"/>
      <c r="P43" s="298"/>
      <c r="Q43" s="298"/>
      <c r="R43" s="299"/>
    </row>
    <row r="44" spans="1:18" ht="15" customHeight="1" x14ac:dyDescent="0.35">
      <c r="A44" s="1327" t="s">
        <v>202</v>
      </c>
      <c r="B44" s="293" t="s">
        <v>577</v>
      </c>
      <c r="C44" s="468">
        <v>2</v>
      </c>
      <c r="D44" s="468">
        <v>2</v>
      </c>
      <c r="E44" s="468">
        <v>2</v>
      </c>
      <c r="F44" s="468">
        <v>2</v>
      </c>
      <c r="G44" s="468">
        <v>0</v>
      </c>
      <c r="H44" s="468">
        <v>1</v>
      </c>
      <c r="I44" s="419"/>
      <c r="J44" s="293"/>
      <c r="K44" s="293"/>
      <c r="L44" s="294"/>
      <c r="M44" s="293"/>
      <c r="N44" s="294"/>
      <c r="O44" s="293"/>
      <c r="P44" s="294"/>
      <c r="Q44" s="293"/>
      <c r="R44" s="295"/>
    </row>
    <row r="45" spans="1:18" ht="15" customHeight="1" x14ac:dyDescent="0.35">
      <c r="A45" s="1328"/>
      <c r="B45" s="265" t="s">
        <v>582</v>
      </c>
      <c r="C45" s="464">
        <v>25</v>
      </c>
      <c r="D45" s="464">
        <v>25</v>
      </c>
      <c r="E45" s="464">
        <v>25</v>
      </c>
      <c r="F45" s="464">
        <v>25</v>
      </c>
      <c r="G45" s="464">
        <v>25</v>
      </c>
      <c r="H45" s="1011">
        <f>+H26</f>
        <v>62</v>
      </c>
      <c r="I45" s="417"/>
      <c r="J45" s="265"/>
      <c r="K45" s="265"/>
      <c r="L45" s="266"/>
      <c r="M45" s="265"/>
      <c r="N45" s="266"/>
      <c r="O45" s="265"/>
      <c r="P45" s="266"/>
      <c r="Q45" s="265"/>
      <c r="R45" s="267"/>
    </row>
    <row r="46" spans="1:18" ht="15" thickBot="1" x14ac:dyDescent="0.4">
      <c r="A46" s="296" t="s">
        <v>195</v>
      </c>
      <c r="B46" s="297" t="s">
        <v>578</v>
      </c>
      <c r="C46" s="469">
        <f>+C38*C44*C45</f>
        <v>150</v>
      </c>
      <c r="D46" s="469">
        <f>+D38*D44*D45</f>
        <v>150</v>
      </c>
      <c r="E46" s="469">
        <f>+E38*E44*E45</f>
        <v>150</v>
      </c>
      <c r="F46" s="469">
        <f>+F38*F44*F45</f>
        <v>150</v>
      </c>
      <c r="G46" s="469">
        <f>+G38*G44*G45</f>
        <v>0</v>
      </c>
      <c r="H46" s="469">
        <f>+H37*H44*H45</f>
        <v>930</v>
      </c>
      <c r="I46" s="420"/>
      <c r="J46" s="298"/>
      <c r="K46" s="298"/>
      <c r="L46" s="298"/>
      <c r="M46" s="298"/>
      <c r="N46" s="298"/>
      <c r="O46" s="298"/>
      <c r="P46" s="298"/>
      <c r="Q46" s="298"/>
      <c r="R46" s="299"/>
    </row>
    <row r="47" spans="1:18" ht="15" thickBot="1" x14ac:dyDescent="0.4">
      <c r="A47" s="278" t="s">
        <v>195</v>
      </c>
      <c r="B47" s="271" t="s">
        <v>579</v>
      </c>
      <c r="C47" s="470">
        <f>+C40+C43</f>
        <v>3000</v>
      </c>
      <c r="D47" s="470">
        <f>+D40+D43</f>
        <v>3000</v>
      </c>
      <c r="E47" s="471">
        <f>+E40+E43</f>
        <v>3000</v>
      </c>
      <c r="F47" s="471">
        <f>+F40+F43</f>
        <v>3000</v>
      </c>
      <c r="G47" s="471">
        <f>+G40+G43</f>
        <v>2700</v>
      </c>
      <c r="H47" s="471">
        <f>+H40+H43+H46</f>
        <v>4470</v>
      </c>
      <c r="I47" s="426"/>
      <c r="J47" s="384"/>
      <c r="K47" s="384"/>
      <c r="L47" s="384"/>
      <c r="M47" s="384"/>
      <c r="N47" s="384"/>
      <c r="O47" s="384"/>
      <c r="P47" s="384"/>
      <c r="Q47" s="384"/>
      <c r="R47" s="423"/>
    </row>
    <row r="48" spans="1:18" ht="15.5" thickTop="1" thickBot="1" x14ac:dyDescent="0.4">
      <c r="A48" s="1330" t="s">
        <v>502</v>
      </c>
      <c r="B48" s="1331"/>
      <c r="C48" s="1331"/>
      <c r="D48" s="1331"/>
      <c r="E48" s="1331"/>
      <c r="F48" s="954"/>
      <c r="G48" s="954"/>
      <c r="H48" s="954"/>
      <c r="I48" s="954"/>
      <c r="J48" s="954"/>
      <c r="K48" s="954"/>
      <c r="L48" s="954"/>
      <c r="M48" s="954"/>
      <c r="N48" s="954"/>
      <c r="O48" s="954"/>
      <c r="P48" s="954"/>
      <c r="Q48" s="954"/>
      <c r="R48" s="955"/>
    </row>
    <row r="49" spans="1:18" ht="15" customHeight="1" x14ac:dyDescent="0.35">
      <c r="A49" s="1332" t="s">
        <v>420</v>
      </c>
      <c r="B49" s="293" t="s">
        <v>387</v>
      </c>
      <c r="C49" s="900">
        <f>+C21</f>
        <v>37</v>
      </c>
      <c r="D49" s="900">
        <f>+D21</f>
        <v>37</v>
      </c>
      <c r="E49" s="900">
        <f>+E21</f>
        <v>37</v>
      </c>
      <c r="F49" s="900">
        <v>0</v>
      </c>
      <c r="G49" s="900">
        <f>+G6</f>
        <v>53</v>
      </c>
      <c r="H49" s="900">
        <f>+H6</f>
        <v>52</v>
      </c>
      <c r="I49" s="901"/>
      <c r="J49" s="1335" t="str">
        <f>+J21</f>
        <v>One day per week (excl Lent/Advent services)</v>
      </c>
      <c r="K49" s="1335"/>
      <c r="L49" s="1335"/>
      <c r="M49" s="1335"/>
      <c r="N49" s="1335"/>
      <c r="O49" s="1335"/>
      <c r="P49" s="1335"/>
      <c r="Q49" s="1335"/>
      <c r="R49" s="1336"/>
    </row>
    <row r="50" spans="1:18" x14ac:dyDescent="0.35">
      <c r="A50" s="1333"/>
      <c r="B50" s="259" t="s">
        <v>388</v>
      </c>
      <c r="C50" s="457">
        <v>1</v>
      </c>
      <c r="D50" s="457">
        <v>1</v>
      </c>
      <c r="E50" s="457">
        <v>1</v>
      </c>
      <c r="F50" s="457">
        <v>1</v>
      </c>
      <c r="G50" s="457">
        <v>1</v>
      </c>
      <c r="H50" s="457">
        <v>1</v>
      </c>
      <c r="I50" s="412"/>
      <c r="J50" s="1304"/>
      <c r="K50" s="1304"/>
      <c r="L50" s="1304"/>
      <c r="M50" s="1304"/>
      <c r="N50" s="1304"/>
      <c r="O50" s="1304"/>
      <c r="P50" s="1304"/>
      <c r="Q50" s="1304"/>
      <c r="R50" s="1337"/>
    </row>
    <row r="51" spans="1:18" ht="15" thickBot="1" x14ac:dyDescent="0.4">
      <c r="A51" s="1334"/>
      <c r="B51" s="265" t="s">
        <v>399</v>
      </c>
      <c r="C51" s="458">
        <f t="shared" ref="C51:H51" si="7">+C49*C50</f>
        <v>37</v>
      </c>
      <c r="D51" s="458">
        <f t="shared" si="7"/>
        <v>37</v>
      </c>
      <c r="E51" s="458">
        <f t="shared" si="7"/>
        <v>37</v>
      </c>
      <c r="F51" s="458">
        <f t="shared" si="7"/>
        <v>0</v>
      </c>
      <c r="G51" s="458">
        <f t="shared" si="7"/>
        <v>53</v>
      </c>
      <c r="H51" s="458">
        <f t="shared" si="7"/>
        <v>52</v>
      </c>
      <c r="I51" s="413"/>
      <c r="J51" s="265"/>
      <c r="K51" s="265"/>
      <c r="L51" s="266"/>
      <c r="M51" s="265"/>
      <c r="N51" s="266"/>
      <c r="O51" s="265"/>
      <c r="P51" s="266"/>
      <c r="Q51" s="265"/>
      <c r="R51" s="902"/>
    </row>
    <row r="52" spans="1:18" ht="15" customHeight="1" x14ac:dyDescent="0.35">
      <c r="A52" s="1332" t="s">
        <v>202</v>
      </c>
      <c r="B52" s="293" t="s">
        <v>494</v>
      </c>
      <c r="C52" s="468">
        <v>2</v>
      </c>
      <c r="D52" s="468">
        <v>2</v>
      </c>
      <c r="E52" s="468">
        <v>2</v>
      </c>
      <c r="F52" s="468">
        <v>0</v>
      </c>
      <c r="G52" s="468">
        <v>1</v>
      </c>
      <c r="H52" s="468">
        <v>1</v>
      </c>
      <c r="I52" s="419"/>
      <c r="J52" s="293" t="s">
        <v>203</v>
      </c>
      <c r="K52" s="293"/>
      <c r="L52" s="294"/>
      <c r="M52" s="293"/>
      <c r="N52" s="294"/>
      <c r="O52" s="293"/>
      <c r="P52" s="294"/>
      <c r="Q52" s="293"/>
      <c r="R52" s="903"/>
    </row>
    <row r="53" spans="1:18" ht="15" customHeight="1" x14ac:dyDescent="0.35">
      <c r="A53" s="1334"/>
      <c r="B53" s="265" t="s">
        <v>515</v>
      </c>
      <c r="C53" s="464">
        <v>25</v>
      </c>
      <c r="D53" s="464">
        <v>25</v>
      </c>
      <c r="E53" s="464">
        <v>25</v>
      </c>
      <c r="F53" s="464">
        <v>2759</v>
      </c>
      <c r="G53" s="464">
        <v>60</v>
      </c>
      <c r="H53" s="1011">
        <f>+H26</f>
        <v>62</v>
      </c>
      <c r="I53" s="417"/>
      <c r="J53" s="265"/>
      <c r="K53" s="265"/>
      <c r="L53" s="266"/>
      <c r="M53" s="265"/>
      <c r="N53" s="266"/>
      <c r="O53" s="265"/>
      <c r="P53" s="266"/>
      <c r="Q53" s="265"/>
      <c r="R53" s="902"/>
    </row>
    <row r="54" spans="1:18" ht="15" thickBot="1" x14ac:dyDescent="0.4">
      <c r="A54" s="904" t="s">
        <v>195</v>
      </c>
      <c r="B54" s="297" t="s">
        <v>495</v>
      </c>
      <c r="C54" s="469">
        <f>+C43*C52*C53</f>
        <v>37500</v>
      </c>
      <c r="D54" s="469">
        <f>+D43*D52*D53</f>
        <v>37500</v>
      </c>
      <c r="E54" s="469">
        <f>+E43*E52*E53</f>
        <v>37500</v>
      </c>
      <c r="F54" s="956">
        <f>+F53</f>
        <v>2759</v>
      </c>
      <c r="G54" s="956">
        <f>+G51*G52*G53</f>
        <v>3180</v>
      </c>
      <c r="H54" s="956">
        <f>+H51*H52*H53</f>
        <v>3224</v>
      </c>
      <c r="I54" s="420"/>
      <c r="J54" s="298"/>
      <c r="K54" s="298"/>
      <c r="L54" s="298"/>
      <c r="M54" s="298"/>
      <c r="N54" s="298"/>
      <c r="O54" s="298"/>
      <c r="P54" s="298"/>
      <c r="Q54" s="298"/>
      <c r="R54" s="905"/>
    </row>
    <row r="55" spans="1:18" ht="15" thickBot="1" x14ac:dyDescent="0.4">
      <c r="A55" s="1338" t="s">
        <v>503</v>
      </c>
      <c r="B55" s="1339"/>
      <c r="C55" s="1339"/>
      <c r="D55" s="1339"/>
      <c r="E55" s="1339"/>
      <c r="F55" s="887"/>
      <c r="G55" s="887"/>
      <c r="H55" s="887"/>
      <c r="I55" s="887"/>
      <c r="J55" s="887"/>
      <c r="K55" s="887"/>
      <c r="L55" s="887"/>
      <c r="M55" s="887"/>
      <c r="N55" s="887"/>
      <c r="O55" s="887"/>
      <c r="P55" s="887"/>
      <c r="Q55" s="887"/>
      <c r="R55" s="888"/>
    </row>
    <row r="56" spans="1:18" x14ac:dyDescent="0.35">
      <c r="A56" s="889"/>
      <c r="B56" s="906" t="s">
        <v>496</v>
      </c>
      <c r="C56" s="890"/>
      <c r="D56" s="890"/>
      <c r="E56" s="890"/>
      <c r="F56" s="890"/>
      <c r="G56" s="891">
        <v>125</v>
      </c>
      <c r="H56" s="891">
        <v>125</v>
      </c>
      <c r="I56" s="890"/>
      <c r="J56" s="294" t="s">
        <v>497</v>
      </c>
      <c r="K56" s="294"/>
      <c r="L56" s="294"/>
      <c r="M56" s="294"/>
      <c r="N56" s="294"/>
      <c r="O56" s="294"/>
      <c r="P56" s="294"/>
      <c r="Q56" s="294"/>
      <c r="R56" s="892"/>
    </row>
    <row r="57" spans="1:18" ht="15" thickBot="1" x14ac:dyDescent="0.4">
      <c r="A57" s="893"/>
      <c r="B57" s="907" t="s">
        <v>498</v>
      </c>
      <c r="C57" s="894"/>
      <c r="D57" s="894"/>
      <c r="E57" s="894"/>
      <c r="F57" s="894">
        <v>3000</v>
      </c>
      <c r="G57" s="957">
        <f>+G56*9</f>
        <v>1125</v>
      </c>
      <c r="H57" s="957">
        <f>+H56*9</f>
        <v>1125</v>
      </c>
      <c r="I57" s="894"/>
      <c r="J57" s="895"/>
      <c r="K57" s="895"/>
      <c r="L57" s="895"/>
      <c r="M57" s="895"/>
      <c r="N57" s="895"/>
      <c r="O57" s="895"/>
      <c r="P57" s="895"/>
      <c r="Q57" s="895"/>
      <c r="R57" s="896"/>
    </row>
    <row r="58" spans="1:18" ht="15" thickBot="1" x14ac:dyDescent="0.4">
      <c r="A58" s="958" t="s">
        <v>499</v>
      </c>
      <c r="B58" s="959"/>
      <c r="C58" s="960"/>
      <c r="D58" s="960"/>
      <c r="E58" s="960"/>
      <c r="F58" s="961">
        <f>+F47+F54+F57</f>
        <v>8759</v>
      </c>
      <c r="G58" s="961">
        <f>+G47+G54+G57</f>
        <v>7005</v>
      </c>
      <c r="H58" s="961">
        <f>+H47+H54+H57</f>
        <v>8819</v>
      </c>
      <c r="I58" s="897"/>
      <c r="J58" s="898"/>
      <c r="K58" s="898"/>
      <c r="L58" s="898"/>
      <c r="M58" s="898"/>
      <c r="N58" s="898"/>
      <c r="O58" s="898"/>
      <c r="P58" s="898"/>
      <c r="Q58" s="898"/>
      <c r="R58" s="899"/>
    </row>
    <row r="59" spans="1:18" x14ac:dyDescent="0.35">
      <c r="A59" s="885"/>
      <c r="B59" s="886"/>
      <c r="C59" s="429"/>
      <c r="D59" s="429"/>
      <c r="E59" s="429"/>
      <c r="F59" s="429"/>
      <c r="G59" s="884"/>
      <c r="H59" s="884"/>
      <c r="I59" s="429"/>
      <c r="J59" s="155"/>
      <c r="K59" s="155"/>
      <c r="L59" s="155"/>
      <c r="M59" s="155"/>
      <c r="N59" s="155"/>
      <c r="O59" s="155"/>
      <c r="P59" s="155"/>
      <c r="Q59" s="155"/>
      <c r="R59" s="155"/>
    </row>
    <row r="60" spans="1:18" x14ac:dyDescent="0.35">
      <c r="A60" s="885"/>
      <c r="B60" s="197"/>
      <c r="C60" s="429"/>
      <c r="D60" s="429"/>
      <c r="E60" s="429"/>
      <c r="F60" s="429"/>
      <c r="G60" s="429"/>
      <c r="H60" s="429"/>
      <c r="I60" s="429"/>
      <c r="J60" s="155"/>
      <c r="K60" s="155"/>
      <c r="L60" s="155"/>
      <c r="M60" s="155"/>
      <c r="N60" s="155"/>
      <c r="O60" s="155"/>
      <c r="P60" s="155"/>
      <c r="Q60" s="155"/>
      <c r="R60" s="155"/>
    </row>
    <row r="61" spans="1:18" ht="15.5" hidden="1" thickTop="1" thickBot="1" x14ac:dyDescent="0.4">
      <c r="A61" s="1358" t="s">
        <v>173</v>
      </c>
      <c r="B61" s="1359"/>
      <c r="C61" s="1359"/>
      <c r="D61" s="1359"/>
      <c r="E61" s="1359"/>
      <c r="F61" s="962"/>
      <c r="G61" s="962"/>
      <c r="H61" s="962"/>
      <c r="I61" s="962"/>
      <c r="J61" s="962"/>
      <c r="K61" s="962"/>
      <c r="L61" s="962"/>
      <c r="M61" s="962"/>
      <c r="N61" s="962"/>
      <c r="O61" s="962"/>
      <c r="P61" s="962"/>
      <c r="Q61" s="962"/>
      <c r="R61" s="963"/>
    </row>
    <row r="62" spans="1:18" ht="15" hidden="1" customHeight="1" thickTop="1" x14ac:dyDescent="0.35">
      <c r="A62" s="1344" t="s">
        <v>420</v>
      </c>
      <c r="B62" s="273" t="s">
        <v>387</v>
      </c>
      <c r="C62" s="456">
        <f t="shared" ref="C62:H62" si="8">+C14</f>
        <v>37</v>
      </c>
      <c r="D62" s="456">
        <f t="shared" si="8"/>
        <v>37</v>
      </c>
      <c r="E62" s="456">
        <f t="shared" si="8"/>
        <v>37</v>
      </c>
      <c r="F62" s="456">
        <f t="shared" si="8"/>
        <v>37</v>
      </c>
      <c r="G62" s="456">
        <f t="shared" si="8"/>
        <v>38</v>
      </c>
      <c r="H62" s="456">
        <f t="shared" si="8"/>
        <v>37</v>
      </c>
      <c r="I62" s="411"/>
      <c r="J62" s="273"/>
      <c r="K62" s="273" t="s">
        <v>204</v>
      </c>
      <c r="L62" s="274"/>
      <c r="M62" s="273"/>
      <c r="N62" s="274"/>
      <c r="O62" s="273"/>
      <c r="P62" s="274"/>
      <c r="Q62" s="273"/>
      <c r="R62" s="275"/>
    </row>
    <row r="63" spans="1:18" hidden="1" x14ac:dyDescent="0.35">
      <c r="A63" s="1329"/>
      <c r="B63" s="259" t="s">
        <v>388</v>
      </c>
      <c r="C63" s="457">
        <v>1</v>
      </c>
      <c r="D63" s="457">
        <v>1</v>
      </c>
      <c r="E63" s="457">
        <v>1</v>
      </c>
      <c r="F63" s="457">
        <v>1</v>
      </c>
      <c r="G63" s="457">
        <v>1</v>
      </c>
      <c r="H63" s="457">
        <v>1</v>
      </c>
      <c r="I63" s="412"/>
      <c r="J63" s="259"/>
      <c r="K63" s="259"/>
      <c r="L63" s="155"/>
      <c r="M63" s="259"/>
      <c r="N63" s="155"/>
      <c r="O63" s="259"/>
      <c r="P63" s="155"/>
      <c r="Q63" s="259"/>
      <c r="R63" s="263"/>
    </row>
    <row r="64" spans="1:18" hidden="1" x14ac:dyDescent="0.35">
      <c r="A64" s="1328"/>
      <c r="B64" s="265" t="s">
        <v>399</v>
      </c>
      <c r="C64" s="458">
        <f t="shared" ref="C64:H64" si="9">+C62*C63</f>
        <v>37</v>
      </c>
      <c r="D64" s="458">
        <f t="shared" si="9"/>
        <v>37</v>
      </c>
      <c r="E64" s="458">
        <f t="shared" si="9"/>
        <v>37</v>
      </c>
      <c r="F64" s="458">
        <f t="shared" si="9"/>
        <v>37</v>
      </c>
      <c r="G64" s="458">
        <f t="shared" si="9"/>
        <v>38</v>
      </c>
      <c r="H64" s="458">
        <f t="shared" si="9"/>
        <v>37</v>
      </c>
      <c r="I64" s="413"/>
      <c r="J64" s="265"/>
      <c r="K64" s="265"/>
      <c r="L64" s="266"/>
      <c r="M64" s="265"/>
      <c r="N64" s="266"/>
      <c r="O64" s="265"/>
      <c r="P64" s="266"/>
      <c r="Q64" s="265"/>
      <c r="R64" s="267"/>
    </row>
    <row r="65" spans="1:18" hidden="1" x14ac:dyDescent="0.35">
      <c r="A65" s="1345" t="s">
        <v>202</v>
      </c>
      <c r="B65" s="123" t="s">
        <v>402</v>
      </c>
      <c r="C65" s="463">
        <v>1</v>
      </c>
      <c r="D65" s="463">
        <v>1</v>
      </c>
      <c r="E65" s="463">
        <v>1</v>
      </c>
      <c r="F65" s="463">
        <v>1</v>
      </c>
      <c r="G65" s="463">
        <v>0</v>
      </c>
      <c r="H65" s="463">
        <v>0</v>
      </c>
      <c r="I65" s="133"/>
      <c r="J65" s="123"/>
      <c r="K65" s="123"/>
      <c r="L65" s="176"/>
      <c r="M65" s="123"/>
      <c r="N65" s="176"/>
      <c r="O65" s="123"/>
      <c r="P65" s="176"/>
      <c r="Q65" s="123"/>
      <c r="R65" s="262"/>
    </row>
    <row r="66" spans="1:18" hidden="1" x14ac:dyDescent="0.35">
      <c r="A66" s="1328"/>
      <c r="B66" s="265" t="s">
        <v>401</v>
      </c>
      <c r="C66" s="464">
        <v>25</v>
      </c>
      <c r="D66" s="464">
        <v>25</v>
      </c>
      <c r="E66" s="464">
        <v>25</v>
      </c>
      <c r="F66" s="464">
        <v>25</v>
      </c>
      <c r="G66" s="464">
        <v>25</v>
      </c>
      <c r="H66" s="464">
        <v>25</v>
      </c>
      <c r="I66" s="417"/>
      <c r="J66" s="265"/>
      <c r="K66" s="265"/>
      <c r="L66" s="266"/>
      <c r="M66" s="265"/>
      <c r="N66" s="266"/>
      <c r="O66" s="265"/>
      <c r="P66" s="266"/>
      <c r="Q66" s="265"/>
      <c r="R66" s="267"/>
    </row>
    <row r="67" spans="1:18" ht="15" hidden="1" thickBot="1" x14ac:dyDescent="0.4">
      <c r="A67" s="278" t="s">
        <v>195</v>
      </c>
      <c r="B67" s="433" t="s">
        <v>374</v>
      </c>
      <c r="C67" s="465">
        <f t="shared" ref="C67:H67" si="10">+C64*C65*C66</f>
        <v>925</v>
      </c>
      <c r="D67" s="465">
        <f t="shared" si="10"/>
        <v>925</v>
      </c>
      <c r="E67" s="466">
        <f t="shared" si="10"/>
        <v>925</v>
      </c>
      <c r="F67" s="466">
        <f t="shared" si="10"/>
        <v>925</v>
      </c>
      <c r="G67" s="466">
        <f t="shared" si="10"/>
        <v>0</v>
      </c>
      <c r="H67" s="466">
        <f t="shared" si="10"/>
        <v>0</v>
      </c>
      <c r="I67" s="425"/>
      <c r="J67" s="424"/>
      <c r="K67" s="424"/>
      <c r="L67" s="424"/>
      <c r="M67" s="424"/>
      <c r="N67" s="424"/>
      <c r="O67" s="424"/>
      <c r="P67" s="424"/>
      <c r="Q67" s="424"/>
      <c r="R67" s="427"/>
    </row>
    <row r="68" spans="1:18" ht="15.5" hidden="1" thickTop="1" thickBot="1" x14ac:dyDescent="0.4">
      <c r="A68" s="1319" t="s">
        <v>403</v>
      </c>
      <c r="B68" s="1320"/>
      <c r="C68" s="1320"/>
      <c r="D68" s="1320"/>
      <c r="E68" s="1320"/>
      <c r="F68" s="949"/>
      <c r="G68" s="949"/>
      <c r="H68" s="949"/>
      <c r="I68" s="949"/>
      <c r="J68" s="949"/>
      <c r="K68" s="949"/>
      <c r="L68" s="949"/>
      <c r="M68" s="949"/>
      <c r="N68" s="949"/>
      <c r="O68" s="949"/>
      <c r="P68" s="949"/>
      <c r="Q68" s="949"/>
      <c r="R68" s="950"/>
    </row>
    <row r="69" spans="1:18" ht="15" hidden="1" customHeight="1" thickTop="1" x14ac:dyDescent="0.35">
      <c r="A69" s="1354" t="s">
        <v>420</v>
      </c>
      <c r="B69" s="273" t="s">
        <v>396</v>
      </c>
      <c r="C69" s="456">
        <v>52</v>
      </c>
      <c r="D69" s="456">
        <v>52</v>
      </c>
      <c r="E69" s="456">
        <f>+E6</f>
        <v>52</v>
      </c>
      <c r="F69" s="456">
        <f>+F6</f>
        <v>52</v>
      </c>
      <c r="G69" s="456">
        <f>+G6</f>
        <v>53</v>
      </c>
      <c r="H69" s="1008">
        <f>+H6</f>
        <v>52</v>
      </c>
      <c r="I69" s="411"/>
      <c r="J69" s="273"/>
      <c r="K69" s="273"/>
      <c r="L69" s="274"/>
      <c r="M69" s="273"/>
      <c r="N69" s="274"/>
      <c r="O69" s="273"/>
      <c r="P69" s="274"/>
      <c r="Q69" s="273"/>
      <c r="R69" s="275"/>
    </row>
    <row r="70" spans="1:18" hidden="1" x14ac:dyDescent="0.35">
      <c r="A70" s="1355"/>
      <c r="B70" s="259" t="s">
        <v>388</v>
      </c>
      <c r="C70" s="457">
        <v>2</v>
      </c>
      <c r="D70" s="457">
        <v>2</v>
      </c>
      <c r="E70" s="457">
        <v>2</v>
      </c>
      <c r="F70" s="457">
        <v>2</v>
      </c>
      <c r="G70" s="457">
        <v>2</v>
      </c>
      <c r="H70" s="457">
        <v>2</v>
      </c>
      <c r="I70" s="412"/>
      <c r="J70" s="259"/>
      <c r="K70" s="259"/>
      <c r="L70" s="155"/>
      <c r="M70" s="259"/>
      <c r="N70" s="155"/>
      <c r="O70" s="259"/>
      <c r="P70" s="155"/>
      <c r="Q70" s="259"/>
      <c r="R70" s="263"/>
    </row>
    <row r="71" spans="1:18" hidden="1" x14ac:dyDescent="0.35">
      <c r="A71" s="1355"/>
      <c r="B71" s="265" t="s">
        <v>414</v>
      </c>
      <c r="C71" s="458">
        <f t="shared" ref="C71:H71" si="11">+C69*C70</f>
        <v>104</v>
      </c>
      <c r="D71" s="458">
        <f t="shared" si="11"/>
        <v>104</v>
      </c>
      <c r="E71" s="458">
        <f t="shared" si="11"/>
        <v>104</v>
      </c>
      <c r="F71" s="458">
        <f t="shared" si="11"/>
        <v>104</v>
      </c>
      <c r="G71" s="458">
        <f t="shared" si="11"/>
        <v>106</v>
      </c>
      <c r="H71" s="458">
        <f t="shared" si="11"/>
        <v>104</v>
      </c>
      <c r="I71" s="413"/>
      <c r="J71" s="265"/>
      <c r="K71" s="265"/>
      <c r="L71" s="266"/>
      <c r="M71" s="265"/>
      <c r="N71" s="266"/>
      <c r="O71" s="265"/>
      <c r="P71" s="266"/>
      <c r="Q71" s="265"/>
      <c r="R71" s="267"/>
    </row>
    <row r="72" spans="1:18" hidden="1" x14ac:dyDescent="0.35">
      <c r="A72" s="1355"/>
      <c r="B72" s="123" t="s">
        <v>415</v>
      </c>
      <c r="C72" s="459"/>
      <c r="D72" s="459"/>
      <c r="E72" s="459"/>
      <c r="F72" s="459"/>
      <c r="G72" s="459"/>
      <c r="H72" s="459"/>
      <c r="I72" s="414"/>
      <c r="J72" s="123"/>
      <c r="K72" s="123"/>
      <c r="L72" s="176"/>
      <c r="M72" s="123"/>
      <c r="N72" s="176"/>
      <c r="O72" s="123"/>
      <c r="P72" s="176"/>
      <c r="Q72" s="123"/>
      <c r="R72" s="262"/>
    </row>
    <row r="73" spans="1:18" hidden="1" x14ac:dyDescent="0.35">
      <c r="A73" s="1355"/>
      <c r="B73" s="259" t="s">
        <v>198</v>
      </c>
      <c r="C73" s="460">
        <f t="shared" ref="C73:H74" si="12">+C7</f>
        <v>4</v>
      </c>
      <c r="D73" s="460">
        <f t="shared" si="12"/>
        <v>4</v>
      </c>
      <c r="E73" s="460">
        <f t="shared" si="12"/>
        <v>4</v>
      </c>
      <c r="F73" s="460">
        <f t="shared" si="12"/>
        <v>4</v>
      </c>
      <c r="G73" s="460">
        <f t="shared" si="12"/>
        <v>4</v>
      </c>
      <c r="H73" s="460">
        <f t="shared" si="12"/>
        <v>3</v>
      </c>
      <c r="I73" s="415"/>
      <c r="J73" s="259"/>
      <c r="K73" s="259"/>
      <c r="L73" s="155"/>
      <c r="M73" s="259"/>
      <c r="N73" s="155"/>
      <c r="O73" s="259"/>
      <c r="P73" s="155"/>
      <c r="Q73" s="259"/>
      <c r="R73" s="263"/>
    </row>
    <row r="74" spans="1:18" hidden="1" x14ac:dyDescent="0.35">
      <c r="A74" s="1355"/>
      <c r="B74" s="259" t="s">
        <v>199</v>
      </c>
      <c r="C74" s="460">
        <f t="shared" si="12"/>
        <v>6</v>
      </c>
      <c r="D74" s="460">
        <f t="shared" si="12"/>
        <v>7</v>
      </c>
      <c r="E74" s="460">
        <f t="shared" si="12"/>
        <v>7</v>
      </c>
      <c r="F74" s="460">
        <f t="shared" si="12"/>
        <v>7</v>
      </c>
      <c r="G74" s="460">
        <f t="shared" si="12"/>
        <v>7</v>
      </c>
      <c r="H74" s="460">
        <f t="shared" si="12"/>
        <v>7</v>
      </c>
      <c r="I74" s="415"/>
      <c r="J74" s="259"/>
      <c r="K74" s="259"/>
      <c r="L74" s="155"/>
      <c r="M74" s="259"/>
      <c r="N74" s="155"/>
      <c r="O74" s="259"/>
      <c r="P74" s="155"/>
      <c r="Q74" s="259"/>
      <c r="R74" s="263"/>
    </row>
    <row r="75" spans="1:18" hidden="1" x14ac:dyDescent="0.35">
      <c r="A75" s="1355"/>
      <c r="B75" s="155" t="s">
        <v>200</v>
      </c>
      <c r="C75" s="461">
        <v>20</v>
      </c>
      <c r="D75" s="461">
        <v>20</v>
      </c>
      <c r="E75" s="461">
        <v>20</v>
      </c>
      <c r="F75" s="461">
        <v>0</v>
      </c>
      <c r="G75" s="461">
        <v>0</v>
      </c>
      <c r="H75" s="461">
        <v>0</v>
      </c>
      <c r="I75" s="416"/>
      <c r="J75" s="155" t="s">
        <v>397</v>
      </c>
      <c r="L75" s="155"/>
      <c r="M75" s="155"/>
      <c r="N75" s="155"/>
      <c r="O75" s="155"/>
      <c r="P75" s="155"/>
      <c r="Q75" s="155"/>
      <c r="R75" s="277"/>
    </row>
    <row r="76" spans="1:18" hidden="1" x14ac:dyDescent="0.35">
      <c r="A76" s="1356"/>
      <c r="B76" s="266" t="s">
        <v>416</v>
      </c>
      <c r="C76" s="462">
        <f t="shared" ref="C76:H76" si="13">SUM(C71:C75)</f>
        <v>134</v>
      </c>
      <c r="D76" s="462">
        <f t="shared" si="13"/>
        <v>135</v>
      </c>
      <c r="E76" s="462">
        <f t="shared" si="13"/>
        <v>135</v>
      </c>
      <c r="F76" s="462">
        <f t="shared" si="13"/>
        <v>115</v>
      </c>
      <c r="G76" s="462">
        <f t="shared" si="13"/>
        <v>117</v>
      </c>
      <c r="H76" s="462">
        <f t="shared" si="13"/>
        <v>114</v>
      </c>
      <c r="I76" s="266"/>
      <c r="J76" s="266"/>
      <c r="K76" s="266"/>
      <c r="L76" s="266"/>
      <c r="M76" s="266"/>
      <c r="N76" s="266"/>
      <c r="O76" s="266"/>
      <c r="P76" s="266"/>
      <c r="Q76" s="266"/>
      <c r="R76" s="276"/>
    </row>
    <row r="77" spans="1:18" hidden="1" x14ac:dyDescent="0.35">
      <c r="A77" s="1345" t="s">
        <v>202</v>
      </c>
      <c r="B77" s="123" t="s">
        <v>418</v>
      </c>
      <c r="C77" s="463">
        <v>1</v>
      </c>
      <c r="D77" s="463">
        <v>1</v>
      </c>
      <c r="E77" s="463">
        <v>1</v>
      </c>
      <c r="F77" s="463">
        <v>2</v>
      </c>
      <c r="G77" s="463">
        <v>0</v>
      </c>
      <c r="H77" s="463">
        <v>0</v>
      </c>
      <c r="I77" s="133"/>
      <c r="J77" s="123" t="s">
        <v>417</v>
      </c>
      <c r="K77" s="123"/>
      <c r="L77" s="176"/>
      <c r="M77" s="123"/>
      <c r="N77" s="176"/>
      <c r="O77" s="123"/>
      <c r="P77" s="176"/>
      <c r="Q77" s="123"/>
      <c r="R77" s="262"/>
    </row>
    <row r="78" spans="1:18" hidden="1" x14ac:dyDescent="0.35">
      <c r="A78" s="1328"/>
      <c r="B78" s="265" t="s">
        <v>398</v>
      </c>
      <c r="C78" s="464">
        <v>25</v>
      </c>
      <c r="D78" s="464">
        <v>25</v>
      </c>
      <c r="E78" s="464">
        <v>25</v>
      </c>
      <c r="F78" s="464">
        <v>25</v>
      </c>
      <c r="G78" s="464">
        <v>25</v>
      </c>
      <c r="H78" s="464">
        <v>25</v>
      </c>
      <c r="I78" s="417"/>
      <c r="J78" s="265"/>
      <c r="K78" s="265"/>
      <c r="L78" s="266"/>
      <c r="M78" s="265"/>
      <c r="N78" s="266"/>
      <c r="O78" s="265"/>
      <c r="P78" s="266"/>
      <c r="Q78" s="265"/>
      <c r="R78" s="267"/>
    </row>
    <row r="79" spans="1:18" ht="15" hidden="1" thickBot="1" x14ac:dyDescent="0.4">
      <c r="A79" s="278" t="s">
        <v>195</v>
      </c>
      <c r="B79" s="433" t="s">
        <v>419</v>
      </c>
      <c r="C79" s="465">
        <f t="shared" ref="C79:H79" si="14">+C76*C77*C78</f>
        <v>3350</v>
      </c>
      <c r="D79" s="465">
        <f t="shared" si="14"/>
        <v>3375</v>
      </c>
      <c r="E79" s="466">
        <f t="shared" si="14"/>
        <v>3375</v>
      </c>
      <c r="F79" s="953">
        <f t="shared" si="14"/>
        <v>5750</v>
      </c>
      <c r="G79" s="953">
        <f t="shared" si="14"/>
        <v>0</v>
      </c>
      <c r="H79" s="953">
        <f t="shared" si="14"/>
        <v>0</v>
      </c>
      <c r="I79" s="425"/>
      <c r="J79" s="424"/>
      <c r="K79" s="1316"/>
      <c r="L79" s="1316"/>
      <c r="M79" s="1316"/>
      <c r="N79" s="1316"/>
      <c r="O79" s="1316"/>
      <c r="P79" s="1316"/>
      <c r="Q79" s="1316"/>
      <c r="R79" s="1317"/>
    </row>
    <row r="80" spans="1:18" x14ac:dyDescent="0.35">
      <c r="C80" s="260"/>
      <c r="D80" s="260"/>
      <c r="E80" s="260"/>
      <c r="F80" s="260"/>
      <c r="G80" s="260"/>
      <c r="H80" s="260"/>
      <c r="I80" s="428"/>
      <c r="J80" s="174"/>
      <c r="K80" s="174"/>
      <c r="L80" s="174"/>
      <c r="M80" s="174"/>
      <c r="N80" s="174"/>
      <c r="O80" s="174"/>
      <c r="P80" s="174"/>
      <c r="Q80" s="174"/>
      <c r="R80" s="174"/>
    </row>
    <row r="81" spans="1:18" ht="15.5" hidden="1" thickTop="1" thickBot="1" x14ac:dyDescent="0.4">
      <c r="A81" s="1346" t="s">
        <v>238</v>
      </c>
      <c r="B81" s="1347"/>
      <c r="C81" s="964">
        <f>+C12+C32+C79+C47+C67</f>
        <v>23565</v>
      </c>
      <c r="D81" s="965">
        <f>+D12+D32+D79+D47+D67</f>
        <v>24160</v>
      </c>
      <c r="E81" s="964">
        <f>+E12+E32+E79+E47+E67</f>
        <v>24191</v>
      </c>
      <c r="F81" s="966">
        <f>+F12+F32+F79+F58+F67</f>
        <v>31987</v>
      </c>
      <c r="G81" s="966">
        <f>+G12+G32+G79+G58+G67</f>
        <v>25328</v>
      </c>
      <c r="H81" s="966">
        <f>+H12+H32+H79+H58+H67</f>
        <v>30036</v>
      </c>
      <c r="I81" s="429"/>
      <c r="J81" s="155"/>
      <c r="K81" s="155"/>
      <c r="L81" s="155"/>
      <c r="M81" s="155"/>
      <c r="N81" s="155"/>
      <c r="O81" s="155"/>
      <c r="P81" s="155"/>
      <c r="Q81" s="155"/>
      <c r="R81" s="155"/>
    </row>
    <row r="82" spans="1:18" ht="15" hidden="1" thickTop="1" x14ac:dyDescent="0.35">
      <c r="A82" s="1340" t="s">
        <v>239</v>
      </c>
      <c r="B82" s="1341"/>
      <c r="C82" s="383"/>
      <c r="D82" s="383"/>
      <c r="E82" s="743">
        <f>+E81-D81</f>
        <v>31</v>
      </c>
      <c r="F82" s="741">
        <f>+F81-D81</f>
        <v>7827</v>
      </c>
      <c r="G82" s="741">
        <f>+G81-E81</f>
        <v>1137</v>
      </c>
      <c r="H82" s="741">
        <f>+H81-F81</f>
        <v>-1951</v>
      </c>
      <c r="I82" s="429"/>
      <c r="J82" s="155"/>
      <c r="K82" s="155"/>
      <c r="L82" s="155"/>
      <c r="M82" s="155"/>
      <c r="N82" s="155"/>
      <c r="O82" s="155"/>
      <c r="P82" s="155"/>
      <c r="Q82" s="155"/>
      <c r="R82" s="155"/>
    </row>
    <row r="83" spans="1:18" ht="15" hidden="1" thickBot="1" x14ac:dyDescent="0.4">
      <c r="A83" s="1342"/>
      <c r="B83" s="1343"/>
      <c r="C83" s="426"/>
      <c r="D83" s="426"/>
      <c r="E83" s="744">
        <f>+E82/D81</f>
        <v>1.2831125827814569E-3</v>
      </c>
      <c r="F83" s="742">
        <f>+F82/D81</f>
        <v>0.32396523178807946</v>
      </c>
      <c r="G83" s="742">
        <f>+G82/E81</f>
        <v>4.7000950766814105E-2</v>
      </c>
      <c r="H83" s="742">
        <f>+H82/F81</f>
        <v>-6.0993528621002283E-2</v>
      </c>
      <c r="I83" s="430"/>
      <c r="J83" s="155"/>
      <c r="K83" s="155"/>
      <c r="L83" s="155"/>
      <c r="M83" s="155"/>
      <c r="N83" s="155"/>
      <c r="O83" s="155"/>
      <c r="P83" s="155"/>
      <c r="Q83" s="155"/>
      <c r="R83" s="155"/>
    </row>
    <row r="84" spans="1:18" x14ac:dyDescent="0.35">
      <c r="I84" s="259"/>
      <c r="J84" s="259"/>
      <c r="K84" s="259"/>
      <c r="L84" s="155"/>
      <c r="M84" s="259"/>
      <c r="N84" s="155"/>
      <c r="O84" s="259"/>
      <c r="P84" s="155"/>
      <c r="Q84" s="259"/>
      <c r="R84" s="259"/>
    </row>
    <row r="85" spans="1:18" x14ac:dyDescent="0.35">
      <c r="D85" s="117"/>
      <c r="L85" s="174"/>
      <c r="N85" s="174"/>
      <c r="P85" s="174"/>
    </row>
    <row r="86" spans="1:18" x14ac:dyDescent="0.35">
      <c r="L86" s="174"/>
      <c r="N86" s="174"/>
      <c r="P86" s="174"/>
    </row>
    <row r="87" spans="1:18" x14ac:dyDescent="0.35">
      <c r="L87" s="174"/>
      <c r="N87" s="174"/>
      <c r="P87" s="174"/>
    </row>
    <row r="88" spans="1:18" x14ac:dyDescent="0.35">
      <c r="L88" s="174"/>
      <c r="N88" s="174"/>
      <c r="P88" s="174"/>
    </row>
    <row r="89" spans="1:18" x14ac:dyDescent="0.35">
      <c r="L89" s="174"/>
      <c r="N89" s="174"/>
      <c r="P89" s="174"/>
    </row>
    <row r="90" spans="1:18" x14ac:dyDescent="0.35">
      <c r="L90" s="174"/>
      <c r="N90" s="174"/>
      <c r="P90" s="174"/>
    </row>
    <row r="91" spans="1:18" x14ac:dyDescent="0.35">
      <c r="L91" s="174"/>
      <c r="N91" s="174"/>
      <c r="P91" s="174"/>
    </row>
    <row r="92" spans="1:18" x14ac:dyDescent="0.35">
      <c r="L92" s="174"/>
      <c r="N92" s="174"/>
      <c r="P92" s="174"/>
    </row>
    <row r="93" spans="1:18" x14ac:dyDescent="0.35">
      <c r="L93" s="174"/>
      <c r="N93" s="174"/>
      <c r="P93" s="174"/>
    </row>
    <row r="94" spans="1:18" x14ac:dyDescent="0.35">
      <c r="L94" s="174"/>
      <c r="N94" s="174"/>
      <c r="P94" s="174"/>
    </row>
    <row r="95" spans="1:18" x14ac:dyDescent="0.35">
      <c r="L95" s="174"/>
      <c r="N95" s="174"/>
      <c r="P95" s="174"/>
    </row>
    <row r="96" spans="1:18" x14ac:dyDescent="0.35">
      <c r="L96" s="174"/>
      <c r="N96" s="174"/>
      <c r="P96" s="174"/>
    </row>
    <row r="97" spans="12:16" x14ac:dyDescent="0.35">
      <c r="L97" s="174"/>
      <c r="N97" s="174"/>
      <c r="P97" s="174"/>
    </row>
    <row r="98" spans="12:16" x14ac:dyDescent="0.35">
      <c r="L98" s="174"/>
      <c r="N98" s="174"/>
      <c r="P98" s="174"/>
    </row>
    <row r="99" spans="12:16" x14ac:dyDescent="0.35">
      <c r="L99" s="174"/>
      <c r="N99" s="174"/>
      <c r="P99" s="174"/>
    </row>
  </sheetData>
  <mergeCells count="30">
    <mergeCell ref="A1:R1"/>
    <mergeCell ref="A82:B83"/>
    <mergeCell ref="A62:A64"/>
    <mergeCell ref="A65:A66"/>
    <mergeCell ref="A81:B81"/>
    <mergeCell ref="A14:A22"/>
    <mergeCell ref="A23:A26"/>
    <mergeCell ref="A69:A76"/>
    <mergeCell ref="A77:A78"/>
    <mergeCell ref="A41:A42"/>
    <mergeCell ref="A68:E68"/>
    <mergeCell ref="A34:E34"/>
    <mergeCell ref="A61:E61"/>
    <mergeCell ref="A35:A37"/>
    <mergeCell ref="A38:A39"/>
    <mergeCell ref="I3:R3"/>
    <mergeCell ref="J12:R12"/>
    <mergeCell ref="K79:R79"/>
    <mergeCell ref="J35:R36"/>
    <mergeCell ref="A13:E13"/>
    <mergeCell ref="J14:R14"/>
    <mergeCell ref="A33:E33"/>
    <mergeCell ref="J15:R16"/>
    <mergeCell ref="A44:A45"/>
    <mergeCell ref="A29:A30"/>
    <mergeCell ref="A48:E48"/>
    <mergeCell ref="A49:A51"/>
    <mergeCell ref="J49:R50"/>
    <mergeCell ref="A52:A53"/>
    <mergeCell ref="A55:E55"/>
  </mergeCells>
  <printOptions horizontalCentered="1" verticalCentered="1"/>
  <pageMargins left="0.2" right="0.2" top="0.25" bottom="0.25" header="0.3" footer="0.3"/>
  <pageSetup scale="64" orientation="portrait" horizontalDpi="4294967293" verticalDpi="0" r:id="rId1"/>
  <headerFooter>
    <oddFooter>&amp;R&amp;D</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362" t="s">
        <v>553</v>
      </c>
      <c r="C1" s="1362"/>
      <c r="D1" s="1362"/>
      <c r="E1" s="1362"/>
      <c r="F1" s="1362"/>
      <c r="G1" s="1362"/>
    </row>
    <row r="2" spans="1:7" ht="43.5" x14ac:dyDescent="0.35">
      <c r="B2" s="969" t="s">
        <v>554</v>
      </c>
      <c r="C2" s="997" t="s">
        <v>555</v>
      </c>
      <c r="D2" s="997" t="s">
        <v>557</v>
      </c>
      <c r="E2" s="997" t="s">
        <v>558</v>
      </c>
      <c r="F2" s="997" t="s">
        <v>556</v>
      </c>
      <c r="G2" s="997" t="s">
        <v>490</v>
      </c>
    </row>
    <row r="3" spans="1:7" x14ac:dyDescent="0.35">
      <c r="A3" t="s">
        <v>544</v>
      </c>
      <c r="B3" s="999">
        <v>78852</v>
      </c>
      <c r="C3" s="999">
        <v>-50000</v>
      </c>
      <c r="D3" s="1000">
        <f>+B3+C3</f>
        <v>28852</v>
      </c>
      <c r="E3" s="1000">
        <f>+D3/D$15*(400000-80000)</f>
        <v>26337.264489019886</v>
      </c>
      <c r="F3" s="999">
        <v>20000</v>
      </c>
      <c r="G3" s="1000">
        <f>+E3+F3</f>
        <v>46337.264489019886</v>
      </c>
    </row>
    <row r="4" spans="1:7" x14ac:dyDescent="0.35">
      <c r="A4" t="s">
        <v>545</v>
      </c>
      <c r="B4" s="999">
        <v>26196</v>
      </c>
      <c r="C4" s="999"/>
      <c r="D4" s="1000">
        <f t="shared" ref="D4:D14" si="0">+B4+C4</f>
        <v>26196</v>
      </c>
      <c r="E4" s="1000">
        <f t="shared" ref="E4:E14" si="1">+D4/D$15*(400000-80000)</f>
        <v>23912.761006320707</v>
      </c>
      <c r="F4" s="999"/>
      <c r="G4" s="1000">
        <f t="shared" ref="G4:G14" si="2">+E4+F4</f>
        <v>23912.761006320707</v>
      </c>
    </row>
    <row r="5" spans="1:7" x14ac:dyDescent="0.35">
      <c r="A5" t="s">
        <v>546</v>
      </c>
      <c r="B5" s="999">
        <v>35852</v>
      </c>
      <c r="C5" s="999"/>
      <c r="D5" s="1000">
        <f t="shared" si="0"/>
        <v>35852</v>
      </c>
      <c r="E5" s="1000">
        <f t="shared" si="1"/>
        <v>32727.145655772252</v>
      </c>
      <c r="F5" s="999"/>
      <c r="G5" s="1000">
        <f t="shared" si="2"/>
        <v>32727.145655772252</v>
      </c>
    </row>
    <row r="6" spans="1:7" x14ac:dyDescent="0.35">
      <c r="A6" t="s">
        <v>547</v>
      </c>
      <c r="B6" s="999">
        <v>27285</v>
      </c>
      <c r="C6" s="999"/>
      <c r="D6" s="1000">
        <f t="shared" si="0"/>
        <v>27285</v>
      </c>
      <c r="E6" s="1000">
        <f t="shared" si="1"/>
        <v>24906.843947834037</v>
      </c>
      <c r="F6" s="999"/>
      <c r="G6" s="1000">
        <f t="shared" si="2"/>
        <v>24906.843947834037</v>
      </c>
    </row>
    <row r="7" spans="1:7" x14ac:dyDescent="0.35">
      <c r="A7" t="s">
        <v>176</v>
      </c>
      <c r="B7" s="999">
        <v>22113</v>
      </c>
      <c r="C7" s="999"/>
      <c r="D7" s="1000">
        <f t="shared" si="0"/>
        <v>22113</v>
      </c>
      <c r="E7" s="1000">
        <f t="shared" si="1"/>
        <v>20185.63460577072</v>
      </c>
      <c r="F7" s="999"/>
      <c r="G7" s="1000">
        <f t="shared" si="2"/>
        <v>20185.63460577072</v>
      </c>
    </row>
    <row r="8" spans="1:7" x14ac:dyDescent="0.35">
      <c r="A8" t="s">
        <v>177</v>
      </c>
      <c r="B8" s="999">
        <v>22022.75</v>
      </c>
      <c r="C8" s="999"/>
      <c r="D8" s="1000">
        <f t="shared" si="0"/>
        <v>22022.75</v>
      </c>
      <c r="E8" s="1000">
        <f t="shared" si="1"/>
        <v>20103.250780727947</v>
      </c>
      <c r="F8" s="999"/>
      <c r="G8" s="1000">
        <f t="shared" si="2"/>
        <v>20103.250780727947</v>
      </c>
    </row>
    <row r="9" spans="1:7" x14ac:dyDescent="0.35">
      <c r="A9" t="s">
        <v>178</v>
      </c>
      <c r="B9" s="999">
        <v>78080</v>
      </c>
      <c r="C9" s="999">
        <v>-50000</v>
      </c>
      <c r="D9" s="1000">
        <f t="shared" si="0"/>
        <v>28080</v>
      </c>
      <c r="E9" s="1000">
        <f t="shared" si="1"/>
        <v>25632.551880343766</v>
      </c>
      <c r="F9" s="999">
        <v>60000</v>
      </c>
      <c r="G9" s="1000">
        <f t="shared" si="2"/>
        <v>85632.551880343759</v>
      </c>
    </row>
    <row r="10" spans="1:7" x14ac:dyDescent="0.35">
      <c r="A10" t="s">
        <v>548</v>
      </c>
      <c r="B10" s="999">
        <v>23106</v>
      </c>
      <c r="C10" s="999"/>
      <c r="D10" s="1000">
        <f t="shared" si="0"/>
        <v>23106</v>
      </c>
      <c r="E10" s="1000">
        <f t="shared" si="1"/>
        <v>21092.084891282873</v>
      </c>
      <c r="F10" s="999"/>
      <c r="G10" s="1000">
        <f t="shared" si="2"/>
        <v>21092.084891282873</v>
      </c>
    </row>
    <row r="11" spans="1:7" x14ac:dyDescent="0.35">
      <c r="A11" t="s">
        <v>549</v>
      </c>
      <c r="B11" s="999">
        <v>22482</v>
      </c>
      <c r="C11" s="999"/>
      <c r="D11" s="1000">
        <f t="shared" si="0"/>
        <v>22482</v>
      </c>
      <c r="E11" s="1000">
        <f t="shared" si="1"/>
        <v>20522.472627275238</v>
      </c>
      <c r="F11" s="999"/>
      <c r="G11" s="1000">
        <f t="shared" si="2"/>
        <v>20522.472627275238</v>
      </c>
    </row>
    <row r="12" spans="1:7" x14ac:dyDescent="0.35">
      <c r="A12" t="s">
        <v>550</v>
      </c>
      <c r="B12" s="999">
        <v>34623.75</v>
      </c>
      <c r="C12" s="999"/>
      <c r="D12" s="1000">
        <f t="shared" si="0"/>
        <v>34623.75</v>
      </c>
      <c r="E12" s="1000">
        <f t="shared" si="1"/>
        <v>31605.949721048884</v>
      </c>
      <c r="F12" s="999"/>
      <c r="G12" s="1000">
        <f t="shared" si="2"/>
        <v>31605.949721048884</v>
      </c>
    </row>
    <row r="13" spans="1:7" x14ac:dyDescent="0.35">
      <c r="A13" t="s">
        <v>551</v>
      </c>
      <c r="B13" s="999">
        <v>41326</v>
      </c>
      <c r="C13" s="999"/>
      <c r="D13" s="1000">
        <f t="shared" si="0"/>
        <v>41326</v>
      </c>
      <c r="E13" s="1000">
        <f t="shared" si="1"/>
        <v>37724.032728172599</v>
      </c>
      <c r="F13" s="999"/>
      <c r="G13" s="1000">
        <f t="shared" si="2"/>
        <v>37724.032728172599</v>
      </c>
    </row>
    <row r="14" spans="1:7" x14ac:dyDescent="0.35">
      <c r="A14" t="s">
        <v>552</v>
      </c>
      <c r="B14" s="999">
        <v>38615.75</v>
      </c>
      <c r="C14" s="999"/>
      <c r="D14" s="1000">
        <f t="shared" si="0"/>
        <v>38615.75</v>
      </c>
      <c r="E14" s="1000">
        <f t="shared" si="1"/>
        <v>35250.007666431091</v>
      </c>
      <c r="F14" s="999"/>
      <c r="G14" s="1000">
        <f t="shared" si="2"/>
        <v>35250.007666431091</v>
      </c>
    </row>
    <row r="15" spans="1:7" x14ac:dyDescent="0.35">
      <c r="A15" t="s">
        <v>126</v>
      </c>
      <c r="B15" s="998">
        <f t="shared" ref="B15:G15" si="3">SUM(B3:B14)</f>
        <v>450554.25</v>
      </c>
      <c r="C15" s="998">
        <f t="shared" si="3"/>
        <v>-100000</v>
      </c>
      <c r="D15" s="998">
        <f t="shared" si="3"/>
        <v>350554.25</v>
      </c>
      <c r="E15" s="998">
        <f t="shared" si="3"/>
        <v>320000</v>
      </c>
      <c r="F15" s="998">
        <f t="shared" si="3"/>
        <v>80000</v>
      </c>
      <c r="G15" s="998">
        <f t="shared" si="3"/>
        <v>400000</v>
      </c>
    </row>
  </sheetData>
  <mergeCells count="1">
    <mergeCell ref="B1:G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showGridLines="0" topLeftCell="A19" workbookViewId="0">
      <selection activeCell="E12" sqref="E12"/>
    </sheetView>
  </sheetViews>
  <sheetFormatPr defaultRowHeight="15.5" x14ac:dyDescent="0.35"/>
  <cols>
    <col min="1" max="1" width="1.7265625" style="302" customWidth="1"/>
    <col min="2" max="2" width="43.54296875" style="302" customWidth="1"/>
    <col min="3" max="3" width="10.26953125" style="326" customWidth="1"/>
    <col min="4" max="4" width="58.90625" style="302" customWidth="1"/>
    <col min="5" max="5" width="9.7265625" style="302" bestFit="1" customWidth="1"/>
    <col min="6" max="16384" width="8.7265625" style="302"/>
  </cols>
  <sheetData>
    <row r="1" spans="1:5" ht="20" x14ac:dyDescent="0.35">
      <c r="A1" s="1283" t="s">
        <v>80</v>
      </c>
      <c r="B1" s="1283"/>
      <c r="C1" s="1283"/>
      <c r="D1" s="1283"/>
      <c r="E1" s="1283"/>
    </row>
    <row r="2" spans="1:5" ht="18.5" customHeight="1" x14ac:dyDescent="0.35">
      <c r="A2" s="1284" t="s">
        <v>694</v>
      </c>
      <c r="B2" s="1284"/>
      <c r="C2" s="1284"/>
      <c r="D2" s="1284"/>
      <c r="E2" s="1284"/>
    </row>
    <row r="3" spans="1:5" ht="18.5" customHeight="1" thickBot="1" x14ac:dyDescent="0.4">
      <c r="A3" s="483"/>
      <c r="B3" s="483"/>
      <c r="C3" s="483"/>
      <c r="D3" s="483"/>
      <c r="E3" s="483"/>
    </row>
    <row r="4" spans="1:5" ht="30" hidden="1" customHeight="1" thickBot="1" x14ac:dyDescent="0.4">
      <c r="A4" s="483"/>
      <c r="B4" s="1369" t="s">
        <v>264</v>
      </c>
      <c r="C4" s="1370"/>
      <c r="D4" s="1370"/>
      <c r="E4" s="1371"/>
    </row>
    <row r="5" spans="1:5" hidden="1" x14ac:dyDescent="0.35">
      <c r="B5" s="484" t="s">
        <v>324</v>
      </c>
      <c r="C5" s="485">
        <f>+'New Year-Full Year'!P64+'New Year-Full Year'!P66</f>
        <v>79146</v>
      </c>
      <c r="D5" s="1372" t="str">
        <f>+"Annually  ($"&amp;'New Year-Full Year'!P64-22000&amp;" salary, $22000 housing, and $"&amp;'New Year-Full Year'!P66&amp;" FICA Tax)"</f>
        <v>Annually  ($51310 salary, $22000 housing, and $5836 FICA Tax)</v>
      </c>
      <c r="E5" s="1373"/>
    </row>
    <row r="6" spans="1:5" ht="16" hidden="1" thickBot="1" x14ac:dyDescent="0.4">
      <c r="B6" s="487" t="s">
        <v>263</v>
      </c>
      <c r="C6" s="486">
        <f>+'New Year-Full Year'!P67</f>
        <v>8212</v>
      </c>
      <c r="D6" s="1374" t="str">
        <f>"Annually (the Portico % to use is "&amp;'Pastor Karen'!Q39*100&amp;"%)"</f>
        <v>Annually (the Portico % to use is 22.5%)</v>
      </c>
      <c r="E6" s="1375"/>
    </row>
    <row r="7" spans="1:5" hidden="1" x14ac:dyDescent="0.35">
      <c r="B7" s="484" t="s">
        <v>325</v>
      </c>
      <c r="C7" s="485">
        <f>+'New Year-Full Year'!P74+'New Year-Full Year'!P76</f>
        <v>0</v>
      </c>
      <c r="D7" s="1372" t="str">
        <f>+"Annually  ($"&amp;'New Year-Full Year'!P74-20000&amp;" salary, $20000 housing, and $"&amp;'New Year-Full Year'!P76&amp;" FICA Tax)"</f>
        <v>Annually  ($-20000 salary, $20000 housing, and $0 FICA Tax)</v>
      </c>
      <c r="E7" s="1373"/>
    </row>
    <row r="8" spans="1:5" ht="16" hidden="1" thickBot="1" x14ac:dyDescent="0.4">
      <c r="B8" s="487" t="s">
        <v>263</v>
      </c>
      <c r="C8" s="486">
        <f>+'New Year-Full Year'!P77</f>
        <v>0</v>
      </c>
      <c r="D8" s="1374" t="str">
        <f>"Annually (the Portico % to use is "&amp;'Pastor Kelly'!E37*100&amp;"%)"</f>
        <v>Annually (the Portico % to use is 16%)</v>
      </c>
      <c r="E8" s="1375"/>
    </row>
    <row r="9" spans="1:5" ht="18.5" hidden="1" customHeight="1" thickBot="1" x14ac:dyDescent="0.4">
      <c r="A9" s="483"/>
      <c r="B9" s="483"/>
      <c r="C9" s="483"/>
      <c r="D9" s="483"/>
      <c r="E9" s="483"/>
    </row>
    <row r="10" spans="1:5" ht="30" customHeight="1" thickBot="1" x14ac:dyDescent="0.4">
      <c r="A10" s="308"/>
      <c r="B10" s="321" t="s">
        <v>214</v>
      </c>
      <c r="C10" s="322" t="s">
        <v>215</v>
      </c>
      <c r="D10" s="308"/>
      <c r="E10" s="616"/>
    </row>
    <row r="11" spans="1:5" ht="18.5" customHeight="1" x14ac:dyDescent="0.35">
      <c r="A11" s="308"/>
      <c r="B11" s="317" t="s">
        <v>543</v>
      </c>
      <c r="C11" s="318" t="s">
        <v>373</v>
      </c>
      <c r="D11" s="308"/>
      <c r="E11" s="308"/>
    </row>
    <row r="12" spans="1:5" ht="18.5" customHeight="1" x14ac:dyDescent="0.35">
      <c r="A12" s="308"/>
      <c r="B12" s="317" t="s">
        <v>261</v>
      </c>
      <c r="C12" s="318">
        <f>+'New Year-Full Year'!F93</f>
        <v>23.1</v>
      </c>
      <c r="D12" s="617"/>
      <c r="E12" s="308"/>
    </row>
    <row r="13" spans="1:5" ht="18.5" customHeight="1" x14ac:dyDescent="0.35">
      <c r="A13" s="308"/>
      <c r="B13" s="317" t="s">
        <v>262</v>
      </c>
      <c r="C13" s="318">
        <f>+'New Year-Full Year'!F95</f>
        <v>12.7</v>
      </c>
      <c r="D13" s="308"/>
      <c r="E13" s="308"/>
    </row>
    <row r="14" spans="1:5" ht="18.5" customHeight="1" x14ac:dyDescent="0.35">
      <c r="A14" s="784"/>
      <c r="B14" s="317" t="s">
        <v>434</v>
      </c>
      <c r="C14" s="318">
        <f>+'New Year-Full Year'!F94</f>
        <v>18.200000000000003</v>
      </c>
      <c r="D14" s="784"/>
      <c r="E14" s="784"/>
    </row>
    <row r="15" spans="1:5" ht="18.5" hidden="1" customHeight="1" x14ac:dyDescent="0.35">
      <c r="A15" s="308"/>
      <c r="B15" s="317" t="s">
        <v>435</v>
      </c>
      <c r="C15" s="318" t="e">
        <f>+'New Year-Full Year'!#REF!</f>
        <v>#REF!</v>
      </c>
      <c r="D15" s="308"/>
      <c r="E15" s="308"/>
    </row>
    <row r="16" spans="1:5" ht="4" customHeight="1" thickBot="1" x14ac:dyDescent="0.4">
      <c r="A16" s="308"/>
      <c r="B16" s="319"/>
      <c r="C16" s="320"/>
      <c r="D16" s="308"/>
      <c r="E16" s="308"/>
    </row>
    <row r="17" spans="1:5" ht="8" customHeight="1" x14ac:dyDescent="0.35">
      <c r="A17" s="308"/>
      <c r="B17" s="308"/>
      <c r="C17" s="308"/>
      <c r="D17" s="308"/>
      <c r="E17" s="308"/>
    </row>
    <row r="18" spans="1:5" ht="18.5" customHeight="1" thickBot="1" x14ac:dyDescent="0.4">
      <c r="A18" s="308"/>
      <c r="B18" s="301" t="s">
        <v>213</v>
      </c>
      <c r="C18" s="308"/>
      <c r="D18" s="308"/>
      <c r="E18" s="308"/>
    </row>
    <row r="19" spans="1:5" ht="16" thickBot="1" x14ac:dyDescent="0.4">
      <c r="A19" s="303"/>
      <c r="B19" s="312" t="s">
        <v>217</v>
      </c>
      <c r="C19" s="324"/>
      <c r="D19" s="1365" t="s">
        <v>216</v>
      </c>
      <c r="E19" s="1366"/>
    </row>
    <row r="20" spans="1:5" ht="52" customHeight="1" thickBot="1" x14ac:dyDescent="0.4">
      <c r="B20" s="323" t="s">
        <v>172</v>
      </c>
      <c r="C20" s="368">
        <f>+'Band and Other Music'!H12</f>
        <v>3361</v>
      </c>
      <c r="D20" s="1367" t="s">
        <v>421</v>
      </c>
      <c r="E20" s="1368"/>
    </row>
    <row r="21" spans="1:5" ht="33" customHeight="1" thickBot="1" x14ac:dyDescent="0.4">
      <c r="B21" s="323" t="s">
        <v>101</v>
      </c>
      <c r="C21" s="368">
        <f>+'New Year-Full Year'!P86</f>
        <v>17818</v>
      </c>
      <c r="D21" s="1367" t="s">
        <v>146</v>
      </c>
      <c r="E21" s="1368"/>
    </row>
    <row r="22" spans="1:5" ht="16" thickBot="1" x14ac:dyDescent="0.4">
      <c r="A22" s="309"/>
      <c r="B22" s="304"/>
      <c r="C22" s="325"/>
      <c r="D22" s="304"/>
    </row>
    <row r="23" spans="1:5" ht="16" thickBot="1" x14ac:dyDescent="0.4">
      <c r="A23" s="305"/>
      <c r="B23" s="312" t="s">
        <v>529</v>
      </c>
      <c r="C23" s="324"/>
      <c r="D23" s="313"/>
      <c r="E23" s="314"/>
    </row>
    <row r="24" spans="1:5" ht="16" thickBot="1" x14ac:dyDescent="0.4">
      <c r="A24" s="985"/>
      <c r="B24" s="310" t="s">
        <v>436</v>
      </c>
      <c r="C24" s="369">
        <f>+'Band and Other Music'!H26</f>
        <v>62</v>
      </c>
      <c r="D24" s="1363"/>
      <c r="E24" s="1364"/>
    </row>
    <row r="25" spans="1:5" x14ac:dyDescent="0.35">
      <c r="A25" s="305"/>
    </row>
    <row r="26" spans="1:5" x14ac:dyDescent="0.35">
      <c r="A26" s="305"/>
    </row>
    <row r="27" spans="1:5" x14ac:dyDescent="0.35">
      <c r="A27" s="305"/>
    </row>
    <row r="28" spans="1:5" x14ac:dyDescent="0.35">
      <c r="A28" s="305"/>
    </row>
    <row r="29" spans="1:5" x14ac:dyDescent="0.35">
      <c r="A29" s="305"/>
    </row>
    <row r="30" spans="1:5" x14ac:dyDescent="0.35">
      <c r="A30" s="305"/>
    </row>
    <row r="31" spans="1:5" x14ac:dyDescent="0.35">
      <c r="A31" s="305"/>
    </row>
  </sheetData>
  <mergeCells count="11">
    <mergeCell ref="A1:E1"/>
    <mergeCell ref="A2:E2"/>
    <mergeCell ref="D7:E7"/>
    <mergeCell ref="D8:E8"/>
    <mergeCell ref="D6:E6"/>
    <mergeCell ref="D5:E5"/>
    <mergeCell ref="D24:E24"/>
    <mergeCell ref="D19:E19"/>
    <mergeCell ref="D21:E21"/>
    <mergeCell ref="D20:E20"/>
    <mergeCell ref="B4:E4"/>
  </mergeCells>
  <printOptions horizontalCentered="1"/>
  <pageMargins left="0.2" right="0.2" top="0.25" bottom="0.25" header="0.3" footer="0.3"/>
  <pageSetup scale="83"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272</v>
      </c>
    </row>
    <row r="3" spans="2:7" ht="58" x14ac:dyDescent="0.35">
      <c r="C3" s="499" t="s">
        <v>282</v>
      </c>
      <c r="D3" s="499" t="s">
        <v>283</v>
      </c>
      <c r="E3" s="499"/>
      <c r="F3" s="500" t="s">
        <v>281</v>
      </c>
      <c r="G3" s="499" t="s">
        <v>279</v>
      </c>
    </row>
    <row r="4" spans="2:7" x14ac:dyDescent="0.35">
      <c r="B4">
        <v>2018</v>
      </c>
      <c r="C4" s="501">
        <f>52894+15868</f>
        <v>68762</v>
      </c>
      <c r="D4" s="501">
        <f>52894+15868</f>
        <v>68762</v>
      </c>
      <c r="E4" s="501" t="s">
        <v>275</v>
      </c>
      <c r="F4" s="505">
        <f>52894+15868</f>
        <v>68762</v>
      </c>
      <c r="G4" s="502">
        <f>+F4-D4</f>
        <v>0</v>
      </c>
    </row>
    <row r="6" spans="2:7" x14ac:dyDescent="0.35">
      <c r="B6" t="s">
        <v>273</v>
      </c>
      <c r="C6" s="502">
        <f>+ROUND(C4*(1+0.02),2)</f>
        <v>70137.240000000005</v>
      </c>
      <c r="D6" s="504">
        <v>71240</v>
      </c>
      <c r="E6" s="504" t="s">
        <v>276</v>
      </c>
      <c r="F6" s="505">
        <v>70137</v>
      </c>
      <c r="G6" s="502">
        <f>+F6-D6</f>
        <v>-1103</v>
      </c>
    </row>
    <row r="7" spans="2:7" x14ac:dyDescent="0.35">
      <c r="C7" s="503">
        <f>(+C6-C4)/C4</f>
        <v>2.0000000000000077E-2</v>
      </c>
      <c r="D7" s="503">
        <f>(+D6-D4)/D4</f>
        <v>3.6037346208661759E-2</v>
      </c>
      <c r="E7" s="503"/>
    </row>
    <row r="8" spans="2:7" x14ac:dyDescent="0.35">
      <c r="C8" s="503"/>
      <c r="D8" s="503"/>
      <c r="E8" s="503"/>
    </row>
    <row r="9" spans="2:7" x14ac:dyDescent="0.35">
      <c r="B9" t="s">
        <v>274</v>
      </c>
      <c r="C9" s="502">
        <f>+ROUND(C6*(1+0.02),2)</f>
        <v>71539.98</v>
      </c>
      <c r="D9" s="504">
        <v>73783</v>
      </c>
      <c r="E9" s="504" t="s">
        <v>277</v>
      </c>
      <c r="F9" s="505">
        <v>71540</v>
      </c>
      <c r="G9" s="502">
        <f>+F9-D9</f>
        <v>-2243</v>
      </c>
    </row>
    <row r="10" spans="2:7" x14ac:dyDescent="0.35">
      <c r="C10" s="503">
        <f>(+C9-C6)/C6</f>
        <v>1.9999931562747417E-2</v>
      </c>
      <c r="D10" s="503">
        <f>(+D9-D6)/D6</f>
        <v>3.5696238068500842E-2</v>
      </c>
      <c r="E10" s="503"/>
    </row>
    <row r="11" spans="2:7" x14ac:dyDescent="0.35">
      <c r="C11" s="502"/>
      <c r="D11" s="502"/>
      <c r="E11" s="502"/>
    </row>
    <row r="12" spans="2:7" x14ac:dyDescent="0.35">
      <c r="B12" t="s">
        <v>280</v>
      </c>
      <c r="C12" s="502">
        <f>+ROUND(C9*(1+0.01),2)</f>
        <v>72255.38</v>
      </c>
      <c r="D12" s="504">
        <v>75618</v>
      </c>
      <c r="E12" s="504" t="s">
        <v>278</v>
      </c>
      <c r="F12" s="506">
        <f>+F9*(1+0.01)</f>
        <v>72255.399999999994</v>
      </c>
      <c r="G12" s="506">
        <f>+D12-F9</f>
        <v>4078</v>
      </c>
    </row>
    <row r="13" spans="2:7" x14ac:dyDescent="0.35">
      <c r="C13" s="503">
        <f>(+C12-C9)/C9</f>
        <v>1.0000002795639708E-2</v>
      </c>
      <c r="D13" s="503">
        <f>(+D12-D9)/D9</f>
        <v>2.4870227559193853E-2</v>
      </c>
      <c r="E13" s="503"/>
      <c r="F13" s="503">
        <f>(+F12-F9)/F9</f>
        <v>9.9999999999999187E-3</v>
      </c>
      <c r="G13" s="503">
        <f>+G12/F9</f>
        <v>5.7003075202683814E-2</v>
      </c>
    </row>
    <row r="16" spans="2:7" x14ac:dyDescent="0.35">
      <c r="D16" s="502"/>
      <c r="F16" s="507">
        <f>2000/F9</f>
        <v>2.7956388034665922E-2</v>
      </c>
    </row>
    <row r="17" spans="4:4" x14ac:dyDescent="0.35">
      <c r="D17" s="502"/>
    </row>
  </sheetData>
  <pageMargins left="0.7" right="0.7" top="0.75" bottom="0.75" header="0.3" footer="0.3"/>
  <pageSetup orientation="landscape" horizontalDpi="0"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10" customWidth="1"/>
    <col min="2" max="2" width="13.90625" style="110" customWidth="1"/>
    <col min="3" max="3" width="8.7265625" style="110"/>
    <col min="4" max="4" width="40.54296875" style="110" customWidth="1"/>
    <col min="5" max="16384" width="8.7265625" style="110"/>
  </cols>
  <sheetData>
    <row r="1" spans="1:5" ht="21" x14ac:dyDescent="0.35">
      <c r="A1" s="1306" t="s">
        <v>530</v>
      </c>
      <c r="B1" s="1306"/>
    </row>
    <row r="2" spans="1:5" x14ac:dyDescent="0.35">
      <c r="B2" s="990"/>
    </row>
    <row r="3" spans="1:5" ht="43.5" customHeight="1" x14ac:dyDescent="0.35">
      <c r="A3" s="765"/>
      <c r="B3" s="996" t="s">
        <v>284</v>
      </c>
    </row>
    <row r="4" spans="1:5" ht="14.5" customHeight="1" x14ac:dyDescent="0.35">
      <c r="A4" s="989" t="s">
        <v>142</v>
      </c>
      <c r="B4" s="994">
        <v>71175</v>
      </c>
      <c r="D4" s="110" t="s">
        <v>542</v>
      </c>
    </row>
    <row r="5" spans="1:5" hidden="1" x14ac:dyDescent="0.35">
      <c r="A5" s="147" t="s">
        <v>423</v>
      </c>
      <c r="B5" s="703">
        <v>7.6499999999999999E-2</v>
      </c>
    </row>
    <row r="6" spans="1:5" x14ac:dyDescent="0.35">
      <c r="A6" s="147" t="s">
        <v>233</v>
      </c>
      <c r="B6" s="107">
        <f>ROUND(+B4*B5,0)</f>
        <v>5445</v>
      </c>
    </row>
    <row r="7" spans="1:5" x14ac:dyDescent="0.35">
      <c r="A7" s="991" t="s">
        <v>144</v>
      </c>
      <c r="B7" s="995">
        <f>+B4+B6</f>
        <v>76620</v>
      </c>
    </row>
    <row r="8" spans="1:5" x14ac:dyDescent="0.35">
      <c r="A8" s="147" t="s">
        <v>235</v>
      </c>
      <c r="B8" s="126">
        <f>800*12</f>
        <v>9600</v>
      </c>
    </row>
    <row r="9" spans="1:5" x14ac:dyDescent="0.35">
      <c r="A9" s="992" t="s">
        <v>127</v>
      </c>
      <c r="B9" s="126">
        <f>+E14</f>
        <v>7662</v>
      </c>
      <c r="D9" s="175" t="s">
        <v>408</v>
      </c>
      <c r="E9" s="555">
        <v>0.1</v>
      </c>
    </row>
    <row r="10" spans="1:5" x14ac:dyDescent="0.35">
      <c r="A10" s="992" t="s">
        <v>531</v>
      </c>
      <c r="B10" s="126">
        <f>+E25</f>
        <v>1686</v>
      </c>
      <c r="D10" s="154" t="s">
        <v>152</v>
      </c>
      <c r="E10" s="113">
        <f>+B7</f>
        <v>76620</v>
      </c>
    </row>
    <row r="11" spans="1:5" x14ac:dyDescent="0.35">
      <c r="A11" s="992" t="s">
        <v>532</v>
      </c>
      <c r="B11" s="129">
        <v>1500</v>
      </c>
      <c r="D11" s="154" t="s">
        <v>127</v>
      </c>
      <c r="E11" s="113">
        <f>ROUND(+E10*E9,0)</f>
        <v>7662</v>
      </c>
    </row>
    <row r="12" spans="1:5" x14ac:dyDescent="0.35">
      <c r="A12" s="992" t="s">
        <v>533</v>
      </c>
      <c r="B12" s="129">
        <v>1300</v>
      </c>
      <c r="D12" s="154" t="s">
        <v>154</v>
      </c>
      <c r="E12" s="557">
        <f>+E11/E10</f>
        <v>0.1</v>
      </c>
    </row>
    <row r="13" spans="1:5" x14ac:dyDescent="0.35">
      <c r="A13" s="992" t="s">
        <v>534</v>
      </c>
      <c r="B13" s="129">
        <v>600</v>
      </c>
      <c r="D13" s="154" t="s">
        <v>242</v>
      </c>
      <c r="E13" s="558">
        <v>0.1</v>
      </c>
    </row>
    <row r="14" spans="1:5" x14ac:dyDescent="0.35">
      <c r="A14" s="993" t="s">
        <v>535</v>
      </c>
      <c r="B14" s="132">
        <f>SUM(B7:B13)</f>
        <v>98968</v>
      </c>
      <c r="D14" s="169" t="s">
        <v>151</v>
      </c>
      <c r="E14" s="120">
        <f>ROUND(+B7*E13,0)</f>
        <v>7662</v>
      </c>
    </row>
    <row r="15" spans="1:5" x14ac:dyDescent="0.35">
      <c r="A15" s="174"/>
      <c r="B15" s="174"/>
    </row>
    <row r="16" spans="1:5" ht="14.5" customHeight="1" x14ac:dyDescent="0.35">
      <c r="A16" s="765" t="s">
        <v>536</v>
      </c>
      <c r="B16" s="721"/>
      <c r="D16" s="175" t="s">
        <v>153</v>
      </c>
      <c r="E16" s="112"/>
    </row>
    <row r="17" spans="1:5" ht="29" customHeight="1" x14ac:dyDescent="0.35">
      <c r="A17" s="1377" t="s">
        <v>538</v>
      </c>
      <c r="B17" s="1377"/>
      <c r="D17" s="154" t="s">
        <v>409</v>
      </c>
      <c r="E17" s="365">
        <v>1.4999999999999999E-2</v>
      </c>
    </row>
    <row r="18" spans="1:5" x14ac:dyDescent="0.35">
      <c r="A18" s="721" t="s">
        <v>537</v>
      </c>
      <c r="D18" s="154" t="s">
        <v>410</v>
      </c>
      <c r="E18" s="365">
        <v>7.0000000000000001E-3</v>
      </c>
    </row>
    <row r="19" spans="1:5" hidden="1" x14ac:dyDescent="0.35">
      <c r="D19" s="154" t="s">
        <v>129</v>
      </c>
      <c r="E19" s="365">
        <v>0</v>
      </c>
    </row>
    <row r="20" spans="1:5" x14ac:dyDescent="0.35">
      <c r="A20" s="110" t="s">
        <v>539</v>
      </c>
      <c r="D20" s="154" t="s">
        <v>411</v>
      </c>
      <c r="E20" s="366">
        <f>+E17+E18+E19</f>
        <v>2.1999999999999999E-2</v>
      </c>
    </row>
    <row r="21" spans="1:5" ht="14.5" customHeight="1" x14ac:dyDescent="0.35">
      <c r="A21" s="1376" t="s">
        <v>540</v>
      </c>
      <c r="B21" s="1376"/>
      <c r="D21" s="154" t="s">
        <v>152</v>
      </c>
      <c r="E21" s="113">
        <f>+B7</f>
        <v>76620</v>
      </c>
    </row>
    <row r="22" spans="1:5" ht="43.5" hidden="1" customHeight="1" x14ac:dyDescent="0.35">
      <c r="A22" s="1376"/>
      <c r="B22" s="1376"/>
      <c r="D22" s="190" t="s">
        <v>158</v>
      </c>
      <c r="E22" s="193">
        <v>0</v>
      </c>
    </row>
    <row r="23" spans="1:5" ht="29" hidden="1" customHeight="1" x14ac:dyDescent="0.35">
      <c r="A23" s="1376"/>
      <c r="B23" s="1376"/>
      <c r="D23" s="190" t="s">
        <v>157</v>
      </c>
      <c r="E23" s="113"/>
    </row>
    <row r="24" spans="1:5" ht="14.5" hidden="1" customHeight="1" x14ac:dyDescent="0.35">
      <c r="A24" s="1376"/>
      <c r="B24" s="1376"/>
      <c r="D24" s="124" t="s">
        <v>156</v>
      </c>
      <c r="E24" s="113">
        <f>SUM(E21:E23)</f>
        <v>76620</v>
      </c>
    </row>
    <row r="25" spans="1:5" x14ac:dyDescent="0.35">
      <c r="A25" s="1376"/>
      <c r="B25" s="1376"/>
      <c r="D25" s="130" t="s">
        <v>155</v>
      </c>
      <c r="E25" s="120">
        <f>ROUND(+E24*E20,0)</f>
        <v>1686</v>
      </c>
    </row>
    <row r="26" spans="1:5" x14ac:dyDescent="0.35">
      <c r="A26" s="1376"/>
      <c r="B26" s="1376"/>
    </row>
    <row r="27" spans="1:5" x14ac:dyDescent="0.35">
      <c r="A27" s="110" t="s">
        <v>541</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10" customWidth="1"/>
    <col min="2" max="2" width="38.453125" style="110" customWidth="1"/>
    <col min="3" max="3" width="13.90625" style="174" hidden="1" customWidth="1"/>
    <col min="4" max="5" width="13.90625" style="110" hidden="1" customWidth="1"/>
    <col min="6" max="6" width="8.7265625" style="110" hidden="1" customWidth="1"/>
    <col min="7" max="7" width="9.81640625" style="110" hidden="1" customWidth="1"/>
    <col min="8" max="8" width="11.90625" style="110" hidden="1" customWidth="1"/>
    <col min="9" max="14" width="13.90625" style="110" customWidth="1"/>
    <col min="15" max="15" width="10.453125" style="110" bestFit="1" customWidth="1"/>
    <col min="16" max="16" width="11.453125" style="110" customWidth="1"/>
    <col min="17" max="17" width="15.1796875" style="110" customWidth="1"/>
    <col min="18" max="18" width="8.7265625" style="110"/>
    <col min="19" max="30" width="13.90625" style="110" hidden="1" customWidth="1"/>
    <col min="31" max="16384" width="8.7265625" style="110"/>
  </cols>
  <sheetData>
    <row r="1" spans="1:30" ht="21.5" thickBot="1" x14ac:dyDescent="0.4">
      <c r="A1" s="1306" t="s">
        <v>271</v>
      </c>
      <c r="B1" s="1306"/>
      <c r="C1" s="1306"/>
      <c r="D1" s="1306"/>
      <c r="E1" s="1306"/>
      <c r="F1" s="1306"/>
      <c r="G1" s="1306"/>
      <c r="H1" s="1306"/>
      <c r="I1" s="1306"/>
      <c r="J1" s="1306"/>
      <c r="K1" s="1306"/>
      <c r="L1" s="1306"/>
      <c r="M1" s="1306"/>
      <c r="N1" s="1306"/>
      <c r="O1" s="1306"/>
      <c r="P1" s="1306"/>
      <c r="Q1" s="1306"/>
      <c r="R1" s="117"/>
      <c r="S1" s="792">
        <v>7.0000000000000007E-2</v>
      </c>
      <c r="V1" s="792">
        <v>0.08</v>
      </c>
      <c r="Y1" s="792">
        <v>0.09</v>
      </c>
      <c r="AB1" s="792">
        <v>0.1</v>
      </c>
    </row>
    <row r="2" spans="1:30" s="722" customFormat="1" ht="10" customHeight="1" thickBot="1" x14ac:dyDescent="0.4">
      <c r="B2" s="723"/>
      <c r="C2" s="724"/>
      <c r="D2" s="724"/>
      <c r="E2" s="725"/>
      <c r="I2" s="724"/>
      <c r="J2" s="724"/>
      <c r="K2" s="724"/>
      <c r="L2" s="724"/>
      <c r="M2" s="724"/>
      <c r="N2" s="724"/>
      <c r="R2" s="791"/>
      <c r="S2" s="1409" t="str">
        <f>"2023 Estimate at "&amp;S1*100&amp;"%"</f>
        <v>2023 Estimate at 7%</v>
      </c>
      <c r="T2" s="1410"/>
      <c r="U2" s="1411"/>
      <c r="V2" s="1409" t="str">
        <f>"2023 Estimate at "&amp;V1*100&amp;"%"</f>
        <v>2023 Estimate at 8%</v>
      </c>
      <c r="W2" s="1410"/>
      <c r="X2" s="1411"/>
      <c r="Y2" s="1409" t="str">
        <f>"2023 Estimate at "&amp;Y1*100&amp;"%"</f>
        <v>2023 Estimate at 9%</v>
      </c>
      <c r="Z2" s="1410"/>
      <c r="AA2" s="1411"/>
      <c r="AB2" s="1409" t="str">
        <f>"2023 Estimate at "&amp;AB1*100&amp;"%"</f>
        <v>2023 Estimate at 10%</v>
      </c>
      <c r="AC2" s="1410"/>
      <c r="AD2" s="1411"/>
    </row>
    <row r="3" spans="1:30" ht="37.5" customHeight="1" x14ac:dyDescent="0.35">
      <c r="C3" s="373" t="s">
        <v>265</v>
      </c>
      <c r="D3" s="352" t="s">
        <v>224</v>
      </c>
      <c r="E3" s="554" t="s">
        <v>376</v>
      </c>
      <c r="G3" s="708"/>
      <c r="H3" s="709"/>
      <c r="I3" s="1398" t="s">
        <v>375</v>
      </c>
      <c r="J3" s="1400" t="s">
        <v>504</v>
      </c>
      <c r="K3" s="1400" t="s">
        <v>505</v>
      </c>
      <c r="L3" s="1415" t="s">
        <v>513</v>
      </c>
      <c r="M3" s="1402" t="s">
        <v>490</v>
      </c>
      <c r="N3" s="1404" t="s">
        <v>284</v>
      </c>
      <c r="O3" s="1378" t="str">
        <f>"To Buy Back one week of vacation is $"&amp;ROUND(+N12/52,0)&amp;" per week"</f>
        <v>To Buy Back one week of vacation is $1369 per week</v>
      </c>
      <c r="P3" s="1379"/>
      <c r="Q3" s="1379"/>
      <c r="S3" s="790" t="s">
        <v>79</v>
      </c>
      <c r="T3" s="790" t="str">
        <f>"Full Year with buy-back"</f>
        <v>Full Year with buy-back</v>
      </c>
      <c r="U3" s="790" t="str">
        <f>"1/2 Year with buy-back"</f>
        <v>1/2 Year with buy-back</v>
      </c>
      <c r="V3" s="794" t="s">
        <v>79</v>
      </c>
      <c r="W3" s="794" t="str">
        <f>"Full Year with buy-back"</f>
        <v>Full Year with buy-back</v>
      </c>
      <c r="X3" s="794" t="str">
        <f>"1/2 Year with buy-back"</f>
        <v>1/2 Year with buy-back</v>
      </c>
      <c r="Y3" s="790" t="s">
        <v>79</v>
      </c>
      <c r="Z3" s="790" t="str">
        <f>"Full Year with buy-back"</f>
        <v>Full Year with buy-back</v>
      </c>
      <c r="AA3" s="790" t="str">
        <f>"1/2 Year with buy-back"</f>
        <v>1/2 Year with buy-back</v>
      </c>
      <c r="AB3" s="794" t="s">
        <v>79</v>
      </c>
      <c r="AC3" s="794" t="str">
        <f>"Full Year with buy-back"</f>
        <v>Full Year with buy-back</v>
      </c>
      <c r="AD3" s="794" t="str">
        <f>"1/2 Year with buy-back"</f>
        <v>1/2 Year with buy-back</v>
      </c>
    </row>
    <row r="4" spans="1:30" ht="15" customHeight="1" x14ac:dyDescent="0.35">
      <c r="C4" s="373"/>
      <c r="D4" s="352"/>
      <c r="E4" s="880"/>
      <c r="G4" s="708"/>
      <c r="H4" s="709"/>
      <c r="I4" s="1399"/>
      <c r="J4" s="1401"/>
      <c r="K4" s="1401"/>
      <c r="L4" s="1416"/>
      <c r="M4" s="1403"/>
      <c r="N4" s="1405"/>
      <c r="O4" s="1396" t="s">
        <v>511</v>
      </c>
      <c r="P4" s="1397"/>
      <c r="Q4" s="1397"/>
      <c r="S4" s="790"/>
      <c r="T4" s="790"/>
      <c r="U4" s="790"/>
      <c r="V4" s="794"/>
      <c r="W4" s="794"/>
      <c r="X4" s="794"/>
      <c r="Y4" s="790"/>
      <c r="Z4" s="790"/>
      <c r="AA4" s="790"/>
      <c r="AB4" s="794"/>
      <c r="AC4" s="794"/>
      <c r="AD4" s="794"/>
    </row>
    <row r="5" spans="1:30" ht="14.5" customHeight="1" x14ac:dyDescent="0.35">
      <c r="A5" s="1383" t="s">
        <v>268</v>
      </c>
      <c r="B5" s="380" t="s">
        <v>36</v>
      </c>
      <c r="C5" s="374">
        <f>+C7-C6</f>
        <v>40802</v>
      </c>
      <c r="D5" s="374">
        <f>+D7-D6</f>
        <v>40802</v>
      </c>
      <c r="E5" s="144">
        <f>+E7-E6</f>
        <v>42687</v>
      </c>
      <c r="F5" s="1380" t="s">
        <v>377</v>
      </c>
      <c r="G5" s="1381"/>
      <c r="H5" s="1382"/>
      <c r="I5" s="374">
        <f>+I12-I6</f>
        <v>44553</v>
      </c>
      <c r="J5" s="374">
        <f>+I5/12*2</f>
        <v>7425.5</v>
      </c>
      <c r="K5" s="374">
        <f>ROUND((+I5/12*10)+J5,0)</f>
        <v>44553</v>
      </c>
      <c r="L5" s="920">
        <f>+J5*6</f>
        <v>44553</v>
      </c>
      <c r="M5" s="351">
        <f>+N5-(1369*2)</f>
        <v>48437</v>
      </c>
      <c r="N5" s="752">
        <f>+N7-N6</f>
        <v>51175</v>
      </c>
      <c r="O5" s="1396"/>
      <c r="P5" s="1397"/>
      <c r="Q5" s="1397"/>
      <c r="S5" s="351">
        <f>+S7-S6</f>
        <v>56157</v>
      </c>
      <c r="T5" s="351"/>
      <c r="U5" s="351"/>
      <c r="V5" s="374">
        <f>+V7-V6</f>
        <v>76869</v>
      </c>
      <c r="W5" s="374"/>
      <c r="X5" s="374"/>
      <c r="Y5" s="351">
        <f>+Y7-Y6</f>
        <v>57581</v>
      </c>
      <c r="Z5" s="351"/>
      <c r="AA5" s="351"/>
      <c r="AB5" s="374">
        <f>+AB7-AB6</f>
        <v>78293</v>
      </c>
      <c r="AC5" s="374"/>
      <c r="AD5" s="374"/>
    </row>
    <row r="6" spans="1:30" ht="15" thickBot="1" x14ac:dyDescent="0.4">
      <c r="A6" s="1384"/>
      <c r="B6" s="142" t="s">
        <v>125</v>
      </c>
      <c r="C6" s="149">
        <f>ROUND(+C7*0.3,0)</f>
        <v>17487</v>
      </c>
      <c r="D6" s="149">
        <f>ROUND(+D7*0.3,0)</f>
        <v>17487</v>
      </c>
      <c r="E6" s="377">
        <v>20000</v>
      </c>
      <c r="F6" s="1380"/>
      <c r="G6" s="1381"/>
      <c r="H6" s="1382"/>
      <c r="I6" s="377">
        <v>20000</v>
      </c>
      <c r="J6" s="795">
        <f>+I6/12*2</f>
        <v>3333.3333333333335</v>
      </c>
      <c r="K6" s="377">
        <f>ROUND((+I6/12*10)+J6,0)</f>
        <v>20000</v>
      </c>
      <c r="L6" s="921">
        <f>+J6*6</f>
        <v>20000</v>
      </c>
      <c r="M6" s="363">
        <v>20000</v>
      </c>
      <c r="N6" s="753">
        <v>20000</v>
      </c>
      <c r="O6" s="1396"/>
      <c r="P6" s="1397"/>
      <c r="Q6" s="1397"/>
      <c r="S6" s="789">
        <f>+I6</f>
        <v>20000</v>
      </c>
      <c r="T6" s="363"/>
      <c r="U6" s="363"/>
      <c r="V6" s="795">
        <f>+P6</f>
        <v>0</v>
      </c>
      <c r="W6" s="377"/>
      <c r="X6" s="377"/>
      <c r="Y6" s="789">
        <f>+S6</f>
        <v>20000</v>
      </c>
      <c r="Z6" s="363"/>
      <c r="AA6" s="363"/>
      <c r="AB6" s="795">
        <f>+V6</f>
        <v>0</v>
      </c>
      <c r="AC6" s="377"/>
      <c r="AD6" s="377"/>
    </row>
    <row r="7" spans="1:30" ht="14.5" hidden="1" customHeight="1" x14ac:dyDescent="0.35">
      <c r="A7" s="1384"/>
      <c r="B7" s="142" t="s">
        <v>126</v>
      </c>
      <c r="C7" s="375">
        <v>58289</v>
      </c>
      <c r="D7" s="375">
        <v>58289</v>
      </c>
      <c r="E7" s="153">
        <f>+ROUND((62066*1.01),0)</f>
        <v>62687</v>
      </c>
      <c r="F7" s="1380"/>
      <c r="G7" s="1381"/>
      <c r="H7" s="1382"/>
      <c r="I7" s="882">
        <f>+I5+I6</f>
        <v>64553</v>
      </c>
      <c r="J7" s="882">
        <f>+J5+J6</f>
        <v>10758.833333333334</v>
      </c>
      <c r="K7" s="882">
        <f>+K5+K6</f>
        <v>64553</v>
      </c>
      <c r="L7" s="922"/>
      <c r="M7" s="818">
        <f>+M5+M6</f>
        <v>68437</v>
      </c>
      <c r="N7" s="550">
        <v>71175</v>
      </c>
      <c r="O7" s="1396"/>
      <c r="P7" s="1397"/>
      <c r="Q7" s="1397"/>
      <c r="S7" s="793">
        <f>ROUND(+$N7*(1+S1),0)</f>
        <v>76157</v>
      </c>
      <c r="T7" s="350"/>
      <c r="U7" s="350"/>
      <c r="V7" s="796">
        <f>ROUND(+$N7*(1+V1),0)</f>
        <v>76869</v>
      </c>
      <c r="W7" s="375"/>
      <c r="X7" s="375"/>
      <c r="Y7" s="793">
        <f>ROUND(+$N7*(1+Y1),0)</f>
        <v>77581</v>
      </c>
      <c r="Z7" s="350"/>
      <c r="AA7" s="350"/>
      <c r="AB7" s="796">
        <f>ROUND(+$N7*(1+AB1),0)</f>
        <v>78293</v>
      </c>
      <c r="AC7" s="375"/>
      <c r="AD7" s="375"/>
    </row>
    <row r="8" spans="1:30" ht="5.5" hidden="1" customHeight="1" x14ac:dyDescent="0.35">
      <c r="A8" s="1384"/>
      <c r="B8" s="154"/>
      <c r="C8" s="147"/>
      <c r="D8" s="147"/>
      <c r="E8" s="147"/>
      <c r="F8" s="1380"/>
      <c r="G8" s="1381"/>
      <c r="H8" s="1382"/>
      <c r="I8" s="147"/>
      <c r="J8" s="147"/>
      <c r="K8" s="147"/>
      <c r="L8" s="923"/>
      <c r="M8" s="114"/>
      <c r="N8" s="512"/>
      <c r="O8" s="746"/>
      <c r="P8" s="747"/>
      <c r="Q8" s="747"/>
      <c r="R8" s="155"/>
      <c r="S8" s="114"/>
      <c r="T8" s="114"/>
      <c r="U8" s="114"/>
      <c r="V8" s="147"/>
      <c r="W8" s="147"/>
      <c r="X8" s="147"/>
      <c r="Y8" s="114"/>
      <c r="Z8" s="114"/>
      <c r="AA8" s="114"/>
      <c r="AB8" s="147"/>
      <c r="AC8" s="147"/>
      <c r="AD8" s="147"/>
    </row>
    <row r="9" spans="1:30" ht="14.5" hidden="1" customHeight="1" x14ac:dyDescent="0.35">
      <c r="A9" s="1384"/>
      <c r="B9" s="142" t="s">
        <v>132</v>
      </c>
      <c r="C9" s="376">
        <v>1</v>
      </c>
      <c r="D9" s="376">
        <v>0.5</v>
      </c>
      <c r="E9" s="376">
        <v>1</v>
      </c>
      <c r="F9" s="1380"/>
      <c r="G9" s="1381"/>
      <c r="H9" s="1382"/>
      <c r="I9" s="376">
        <v>1</v>
      </c>
      <c r="J9" s="376">
        <v>1</v>
      </c>
      <c r="K9" s="376">
        <v>1</v>
      </c>
      <c r="L9" s="924"/>
      <c r="M9" s="349">
        <v>1</v>
      </c>
      <c r="N9" s="754">
        <v>1</v>
      </c>
      <c r="O9" s="746"/>
      <c r="P9" s="747"/>
      <c r="Q9" s="747"/>
      <c r="R9" s="155"/>
      <c r="S9" s="349">
        <v>1</v>
      </c>
      <c r="T9" s="349">
        <v>1</v>
      </c>
      <c r="U9" s="349">
        <v>0.5</v>
      </c>
      <c r="V9" s="376">
        <v>1</v>
      </c>
      <c r="W9" s="376">
        <v>1</v>
      </c>
      <c r="X9" s="376">
        <v>0.5</v>
      </c>
      <c r="Y9" s="349">
        <v>1</v>
      </c>
      <c r="Z9" s="349">
        <v>1</v>
      </c>
      <c r="AA9" s="349">
        <v>0.5</v>
      </c>
      <c r="AB9" s="376">
        <v>1</v>
      </c>
      <c r="AC9" s="376">
        <v>1</v>
      </c>
      <c r="AD9" s="376">
        <v>0.5</v>
      </c>
    </row>
    <row r="10" spans="1:30" ht="14.5" hidden="1" customHeight="1" x14ac:dyDescent="0.35">
      <c r="A10" s="1384"/>
      <c r="B10" s="154"/>
      <c r="C10" s="147"/>
      <c r="D10" s="147"/>
      <c r="E10" s="147"/>
      <c r="F10" s="1380"/>
      <c r="G10" s="1381"/>
      <c r="H10" s="1382"/>
      <c r="I10" s="147"/>
      <c r="J10" s="147"/>
      <c r="K10" s="147"/>
      <c r="L10" s="923"/>
      <c r="M10" s="114"/>
      <c r="N10" s="512"/>
      <c r="O10" s="746"/>
      <c r="P10" s="747"/>
      <c r="Q10" s="747"/>
      <c r="R10" s="155"/>
      <c r="S10" s="114"/>
      <c r="T10" s="114"/>
      <c r="U10" s="114"/>
      <c r="V10" s="144"/>
      <c r="W10" s="147"/>
      <c r="X10" s="147"/>
      <c r="Y10" s="114"/>
      <c r="Z10" s="114"/>
      <c r="AA10" s="114"/>
      <c r="AB10" s="147"/>
      <c r="AC10" s="147"/>
      <c r="AD10" s="147"/>
    </row>
    <row r="11" spans="1:30" ht="14.5" hidden="1" customHeight="1" x14ac:dyDescent="0.35">
      <c r="A11" s="1384"/>
      <c r="B11" s="142"/>
      <c r="C11" s="361">
        <v>0</v>
      </c>
      <c r="D11" s="361">
        <v>0</v>
      </c>
      <c r="E11" s="160"/>
      <c r="F11" s="1380"/>
      <c r="G11" s="1381"/>
      <c r="H11" s="1382"/>
      <c r="I11" s="361"/>
      <c r="J11" s="361"/>
      <c r="K11" s="361"/>
      <c r="L11" s="925"/>
      <c r="M11" s="365"/>
      <c r="N11" s="544"/>
      <c r="O11" s="746"/>
      <c r="P11" s="747"/>
      <c r="Q11" s="747"/>
      <c r="R11" s="155"/>
      <c r="S11" s="365"/>
      <c r="T11" s="365"/>
      <c r="U11" s="365"/>
      <c r="V11" s="361"/>
      <c r="W11" s="361"/>
      <c r="X11" s="361"/>
      <c r="Y11" s="365"/>
      <c r="Z11" s="365"/>
      <c r="AA11" s="365"/>
      <c r="AB11" s="361"/>
      <c r="AC11" s="361"/>
      <c r="AD11" s="361"/>
    </row>
    <row r="12" spans="1:30" x14ac:dyDescent="0.35">
      <c r="A12" s="1384"/>
      <c r="B12" s="161" t="s">
        <v>142</v>
      </c>
      <c r="C12" s="353">
        <f>ROUND(+C7*(1+C11)*C9,0)</f>
        <v>58289</v>
      </c>
      <c r="D12" s="353">
        <f>ROUND(+D7*(1+D11)*D9,0)</f>
        <v>29145</v>
      </c>
      <c r="E12" s="492">
        <f>ROUND(+E7*(1+E11)*E9,0)</f>
        <v>62687</v>
      </c>
      <c r="F12" s="1380"/>
      <c r="G12" s="1381"/>
      <c r="H12" s="1382"/>
      <c r="I12" s="165">
        <f>66953-2400</f>
        <v>64553</v>
      </c>
      <c r="J12" s="492">
        <f>+J7</f>
        <v>10758.833333333334</v>
      </c>
      <c r="K12" s="492">
        <f>+K7</f>
        <v>64553</v>
      </c>
      <c r="L12" s="926">
        <f>+L5+L6</f>
        <v>64553</v>
      </c>
      <c r="M12" s="118">
        <f>+M5+M6</f>
        <v>68437</v>
      </c>
      <c r="N12" s="519">
        <f>ROUND((+N7*(1+N11)*N9),0)</f>
        <v>71175</v>
      </c>
      <c r="O12" s="746"/>
      <c r="P12" s="911"/>
      <c r="Q12" s="747"/>
      <c r="R12" s="96"/>
      <c r="S12" s="118">
        <f>ROUND((+S7*S9),0)</f>
        <v>76157</v>
      </c>
      <c r="T12" s="118">
        <f>ROUND((+S7*T9)-((S7/52)*2),0)</f>
        <v>73228</v>
      </c>
      <c r="U12" s="118">
        <f>+T12*U9</f>
        <v>36614</v>
      </c>
      <c r="V12" s="353">
        <f>ROUND((+V7*V9),0)</f>
        <v>76869</v>
      </c>
      <c r="W12" s="353">
        <f>ROUND((+V7*W9)-((V7/52)*2),0)</f>
        <v>73913</v>
      </c>
      <c r="X12" s="353">
        <f>+W12*X9</f>
        <v>36956.5</v>
      </c>
      <c r="Y12" s="118">
        <f>ROUND((+Y7*Y9),0)</f>
        <v>77581</v>
      </c>
      <c r="Z12" s="118">
        <f>ROUND((+Y7*Z9)-((Y7/52)*2),0)</f>
        <v>74597</v>
      </c>
      <c r="AA12" s="118">
        <f>+Z12*AA9</f>
        <v>37298.5</v>
      </c>
      <c r="AB12" s="353">
        <f>ROUND((+AB7*AB9),0)</f>
        <v>78293</v>
      </c>
      <c r="AC12" s="353">
        <f>ROUND((+AB7*AC9)-((AB7/52)*2),0)</f>
        <v>75282</v>
      </c>
      <c r="AD12" s="353">
        <f>+AC12*AD9</f>
        <v>37641</v>
      </c>
    </row>
    <row r="13" spans="1:30" ht="7.5" customHeight="1" x14ac:dyDescent="0.35">
      <c r="A13" s="1384"/>
      <c r="B13" s="1386" t="s">
        <v>267</v>
      </c>
      <c r="C13" s="147"/>
      <c r="D13" s="147"/>
      <c r="E13" s="147"/>
      <c r="I13" s="147"/>
      <c r="J13" s="147"/>
      <c r="K13" s="147"/>
      <c r="L13" s="923"/>
      <c r="M13" s="114"/>
      <c r="N13" s="512"/>
      <c r="P13" s="155"/>
      <c r="Q13" s="155"/>
      <c r="R13" s="96"/>
      <c r="S13" s="114"/>
      <c r="T13" s="114"/>
      <c r="U13" s="114"/>
      <c r="V13" s="147"/>
      <c r="W13" s="147"/>
      <c r="X13" s="147"/>
      <c r="Y13" s="114"/>
      <c r="Z13" s="114"/>
      <c r="AA13" s="114"/>
      <c r="AB13" s="147"/>
      <c r="AC13" s="147"/>
      <c r="AD13" s="147"/>
    </row>
    <row r="14" spans="1:30" ht="17" customHeight="1" x14ac:dyDescent="0.35">
      <c r="A14" s="1384"/>
      <c r="B14" s="1386"/>
      <c r="C14" s="166">
        <f>+C28</f>
        <v>0</v>
      </c>
      <c r="D14" s="166">
        <f>+D28</f>
        <v>0</v>
      </c>
      <c r="E14" s="166">
        <f>+E28</f>
        <v>2400</v>
      </c>
      <c r="I14" s="166">
        <f>+I28</f>
        <v>2400</v>
      </c>
      <c r="J14" s="358">
        <v>0</v>
      </c>
      <c r="K14" s="166">
        <f>ROUND((I14/12*10)+J14,0)</f>
        <v>2000</v>
      </c>
      <c r="L14" s="927">
        <v>0</v>
      </c>
      <c r="M14" s="109">
        <f>+M28</f>
        <v>0</v>
      </c>
      <c r="N14" s="520">
        <f>+N28</f>
        <v>0</v>
      </c>
      <c r="O14" s="127"/>
      <c r="P14" s="917"/>
      <c r="Q14" s="786"/>
      <c r="R14" s="97"/>
      <c r="S14" s="109">
        <f t="shared" ref="S14:AD14" si="0">+S28</f>
        <v>2400</v>
      </c>
      <c r="T14" s="109">
        <f t="shared" si="0"/>
        <v>2400</v>
      </c>
      <c r="U14" s="109">
        <f t="shared" si="0"/>
        <v>1200</v>
      </c>
      <c r="V14" s="166">
        <f t="shared" si="0"/>
        <v>2400</v>
      </c>
      <c r="W14" s="166">
        <f t="shared" si="0"/>
        <v>2400</v>
      </c>
      <c r="X14" s="166">
        <f t="shared" si="0"/>
        <v>1200</v>
      </c>
      <c r="Y14" s="109">
        <f t="shared" si="0"/>
        <v>2400</v>
      </c>
      <c r="Z14" s="109">
        <f t="shared" si="0"/>
        <v>2400</v>
      </c>
      <c r="AA14" s="109">
        <f t="shared" si="0"/>
        <v>1200</v>
      </c>
      <c r="AB14" s="166">
        <f t="shared" si="0"/>
        <v>2400</v>
      </c>
      <c r="AC14" s="166">
        <f t="shared" si="0"/>
        <v>2400</v>
      </c>
      <c r="AD14" s="166">
        <f t="shared" si="0"/>
        <v>1200</v>
      </c>
    </row>
    <row r="15" spans="1:30" ht="8" customHeight="1" thickBot="1" x14ac:dyDescent="0.4">
      <c r="A15" s="1384"/>
      <c r="B15" s="1386"/>
      <c r="C15" s="147"/>
      <c r="D15" s="147"/>
      <c r="E15" s="147"/>
      <c r="I15" s="147"/>
      <c r="J15" s="147"/>
      <c r="K15" s="147"/>
      <c r="L15" s="923"/>
      <c r="M15" s="114"/>
      <c r="N15" s="512"/>
      <c r="O15" s="787"/>
      <c r="P15" s="787"/>
      <c r="Q15" s="787"/>
      <c r="R15" s="491"/>
      <c r="S15" s="114"/>
      <c r="T15" s="114"/>
      <c r="U15" s="114"/>
      <c r="V15" s="147"/>
      <c r="W15" s="147"/>
      <c r="X15" s="147"/>
      <c r="Y15" s="114"/>
      <c r="Z15" s="114"/>
      <c r="AA15" s="114"/>
      <c r="AB15" s="147"/>
      <c r="AC15" s="147"/>
      <c r="AD15" s="147"/>
    </row>
    <row r="16" spans="1:30" x14ac:dyDescent="0.35">
      <c r="A16" s="1384"/>
      <c r="B16" s="161" t="s">
        <v>142</v>
      </c>
      <c r="C16" s="353">
        <f>+C12+C14</f>
        <v>58289</v>
      </c>
      <c r="D16" s="353">
        <f>+D12+D14</f>
        <v>29145</v>
      </c>
      <c r="E16" s="492">
        <f>+E12+E14</f>
        <v>65087</v>
      </c>
      <c r="I16" s="353">
        <f t="shared" ref="I16:N16" si="1">+I12+I14</f>
        <v>66953</v>
      </c>
      <c r="J16" s="353">
        <f t="shared" si="1"/>
        <v>10758.833333333334</v>
      </c>
      <c r="K16" s="353">
        <f t="shared" si="1"/>
        <v>66553</v>
      </c>
      <c r="L16" s="928">
        <f t="shared" si="1"/>
        <v>64553</v>
      </c>
      <c r="M16" s="118">
        <f t="shared" si="1"/>
        <v>68437</v>
      </c>
      <c r="N16" s="779">
        <f t="shared" si="1"/>
        <v>71175</v>
      </c>
      <c r="O16" s="1387" t="s">
        <v>512</v>
      </c>
      <c r="P16" s="1388"/>
      <c r="Q16" s="1389"/>
      <c r="R16" s="178"/>
      <c r="S16" s="118">
        <f t="shared" ref="S16:AD16" si="2">+S12+S14</f>
        <v>78557</v>
      </c>
      <c r="T16" s="118">
        <f t="shared" si="2"/>
        <v>75628</v>
      </c>
      <c r="U16" s="118">
        <f t="shared" si="2"/>
        <v>37814</v>
      </c>
      <c r="V16" s="353">
        <f t="shared" si="2"/>
        <v>79269</v>
      </c>
      <c r="W16" s="353">
        <f t="shared" si="2"/>
        <v>76313</v>
      </c>
      <c r="X16" s="353">
        <f t="shared" si="2"/>
        <v>38156.5</v>
      </c>
      <c r="Y16" s="118">
        <f t="shared" si="2"/>
        <v>79981</v>
      </c>
      <c r="Z16" s="118">
        <f t="shared" si="2"/>
        <v>76997</v>
      </c>
      <c r="AA16" s="118">
        <f t="shared" si="2"/>
        <v>38498.5</v>
      </c>
      <c r="AB16" s="353">
        <f t="shared" si="2"/>
        <v>80693</v>
      </c>
      <c r="AC16" s="353">
        <f t="shared" si="2"/>
        <v>77682</v>
      </c>
      <c r="AD16" s="353">
        <f t="shared" si="2"/>
        <v>38841</v>
      </c>
    </row>
    <row r="17" spans="1:30" ht="6.5" customHeight="1" x14ac:dyDescent="0.35">
      <c r="A17" s="1384"/>
      <c r="B17" s="154"/>
      <c r="C17" s="147"/>
      <c r="D17" s="147"/>
      <c r="E17" s="147"/>
      <c r="I17" s="147"/>
      <c r="J17" s="147"/>
      <c r="K17" s="147"/>
      <c r="L17" s="923"/>
      <c r="M17" s="114"/>
      <c r="N17" s="778"/>
      <c r="O17" s="1390"/>
      <c r="P17" s="1391"/>
      <c r="Q17" s="1392"/>
      <c r="R17" s="155"/>
      <c r="S17" s="114"/>
      <c r="T17" s="114"/>
      <c r="U17" s="114"/>
      <c r="V17" s="147"/>
      <c r="W17" s="147"/>
      <c r="X17" s="147"/>
      <c r="Y17" s="114"/>
      <c r="Z17" s="114"/>
      <c r="AA17" s="114"/>
      <c r="AB17" s="147"/>
      <c r="AC17" s="147"/>
      <c r="AD17" s="147"/>
    </row>
    <row r="18" spans="1:30" x14ac:dyDescent="0.35">
      <c r="A18" s="1384"/>
      <c r="B18" s="154" t="s">
        <v>413</v>
      </c>
      <c r="C18" s="168">
        <v>7.6499999999999999E-2</v>
      </c>
      <c r="D18" s="168">
        <v>7.6499999999999999E-2</v>
      </c>
      <c r="E18" s="386">
        <v>7.6499999999999999E-2</v>
      </c>
      <c r="F18" s="1406" t="s">
        <v>270</v>
      </c>
      <c r="G18" s="1407"/>
      <c r="H18" s="1408"/>
      <c r="I18" s="386">
        <v>7.6499999999999999E-2</v>
      </c>
      <c r="J18" s="386">
        <v>7.6499999999999999E-2</v>
      </c>
      <c r="K18" s="386">
        <v>7.6499999999999999E-2</v>
      </c>
      <c r="L18" s="929">
        <v>7.6499999999999999E-2</v>
      </c>
      <c r="M18" s="560">
        <v>7.6499999999999999E-2</v>
      </c>
      <c r="N18" s="780">
        <v>7.6499999999999999E-2</v>
      </c>
      <c r="O18" s="1390"/>
      <c r="P18" s="1391"/>
      <c r="Q18" s="1392"/>
      <c r="R18" s="96"/>
      <c r="S18" s="560">
        <v>7.6499999999999999E-2</v>
      </c>
      <c r="T18" s="560">
        <v>7.6499999999999999E-2</v>
      </c>
      <c r="U18" s="560">
        <v>7.6499999999999999E-2</v>
      </c>
      <c r="V18" s="386">
        <v>7.6499999999999999E-2</v>
      </c>
      <c r="W18" s="386">
        <v>7.6499999999999999E-2</v>
      </c>
      <c r="X18" s="386">
        <v>7.6499999999999999E-2</v>
      </c>
      <c r="Y18" s="560">
        <v>7.6499999999999999E-2</v>
      </c>
      <c r="Z18" s="560">
        <v>7.6499999999999999E-2</v>
      </c>
      <c r="AA18" s="560">
        <v>7.6499999999999999E-2</v>
      </c>
      <c r="AB18" s="386">
        <v>7.6499999999999999E-2</v>
      </c>
      <c r="AC18" s="386">
        <v>7.6499999999999999E-2</v>
      </c>
      <c r="AD18" s="386">
        <v>7.6499999999999999E-2</v>
      </c>
    </row>
    <row r="19" spans="1:30" x14ac:dyDescent="0.35">
      <c r="A19" s="1384"/>
      <c r="B19" s="154" t="s">
        <v>233</v>
      </c>
      <c r="C19" s="166">
        <f>ROUND(+C16*C18,0)</f>
        <v>4459</v>
      </c>
      <c r="D19" s="166">
        <f>ROUND(+D16*D18,0)</f>
        <v>2230</v>
      </c>
      <c r="E19" s="166">
        <f>ROUND(+E16*E18,0)</f>
        <v>4979</v>
      </c>
      <c r="F19" s="117"/>
      <c r="I19" s="166">
        <f t="shared" ref="I19:N19" si="3">ROUND(+I16*I18,0)</f>
        <v>5122</v>
      </c>
      <c r="J19" s="166">
        <f t="shared" si="3"/>
        <v>823</v>
      </c>
      <c r="K19" s="166">
        <f t="shared" si="3"/>
        <v>5091</v>
      </c>
      <c r="L19" s="927">
        <f t="shared" si="3"/>
        <v>4938</v>
      </c>
      <c r="M19" s="109">
        <f t="shared" si="3"/>
        <v>5235</v>
      </c>
      <c r="N19" s="777">
        <f t="shared" si="3"/>
        <v>5445</v>
      </c>
      <c r="O19" s="1390"/>
      <c r="P19" s="1391"/>
      <c r="Q19" s="1392"/>
      <c r="R19" s="155"/>
      <c r="S19" s="109">
        <f t="shared" ref="S19:AD19" si="4">ROUND(+S16*S18,0)</f>
        <v>6010</v>
      </c>
      <c r="T19" s="109">
        <f t="shared" si="4"/>
        <v>5786</v>
      </c>
      <c r="U19" s="109">
        <f t="shared" si="4"/>
        <v>2893</v>
      </c>
      <c r="V19" s="166">
        <f t="shared" si="4"/>
        <v>6064</v>
      </c>
      <c r="W19" s="166">
        <f t="shared" si="4"/>
        <v>5838</v>
      </c>
      <c r="X19" s="166">
        <f t="shared" si="4"/>
        <v>2919</v>
      </c>
      <c r="Y19" s="109">
        <f t="shared" si="4"/>
        <v>6119</v>
      </c>
      <c r="Z19" s="109">
        <f t="shared" si="4"/>
        <v>5890</v>
      </c>
      <c r="AA19" s="109">
        <f t="shared" si="4"/>
        <v>2945</v>
      </c>
      <c r="AB19" s="166">
        <f t="shared" si="4"/>
        <v>6173</v>
      </c>
      <c r="AC19" s="166">
        <f t="shared" si="4"/>
        <v>5943</v>
      </c>
      <c r="AD19" s="166">
        <f t="shared" si="4"/>
        <v>2971</v>
      </c>
    </row>
    <row r="20" spans="1:30" ht="21" customHeight="1" thickBot="1" x14ac:dyDescent="0.4">
      <c r="A20" s="1385"/>
      <c r="B20" s="169" t="s">
        <v>144</v>
      </c>
      <c r="C20" s="173">
        <f>+C16+C19</f>
        <v>62748</v>
      </c>
      <c r="D20" s="173">
        <f>+D16+D19</f>
        <v>31375</v>
      </c>
      <c r="E20" s="173">
        <f>+E16+E19</f>
        <v>70066</v>
      </c>
      <c r="I20" s="173">
        <f t="shared" ref="I20:N20" si="5">+I16+I19</f>
        <v>72075</v>
      </c>
      <c r="J20" s="173">
        <f t="shared" si="5"/>
        <v>11581.833333333334</v>
      </c>
      <c r="K20" s="173">
        <f t="shared" si="5"/>
        <v>71644</v>
      </c>
      <c r="L20" s="930">
        <f t="shared" si="5"/>
        <v>69491</v>
      </c>
      <c r="M20" s="120">
        <f t="shared" si="5"/>
        <v>73672</v>
      </c>
      <c r="N20" s="781">
        <f t="shared" si="5"/>
        <v>76620</v>
      </c>
      <c r="O20" s="1393"/>
      <c r="P20" s="1394"/>
      <c r="Q20" s="1395"/>
      <c r="R20" s="155"/>
      <c r="S20" s="120">
        <f t="shared" ref="S20:AD20" si="6">+S16+S19</f>
        <v>84567</v>
      </c>
      <c r="T20" s="120">
        <f t="shared" si="6"/>
        <v>81414</v>
      </c>
      <c r="U20" s="120">
        <f t="shared" si="6"/>
        <v>40707</v>
      </c>
      <c r="V20" s="173">
        <f t="shared" si="6"/>
        <v>85333</v>
      </c>
      <c r="W20" s="173">
        <f t="shared" si="6"/>
        <v>82151</v>
      </c>
      <c r="X20" s="173">
        <f t="shared" si="6"/>
        <v>41075.5</v>
      </c>
      <c r="Y20" s="120">
        <f t="shared" si="6"/>
        <v>86100</v>
      </c>
      <c r="Z20" s="120">
        <f t="shared" si="6"/>
        <v>82887</v>
      </c>
      <c r="AA20" s="120">
        <f t="shared" si="6"/>
        <v>41443.5</v>
      </c>
      <c r="AB20" s="173">
        <f t="shared" si="6"/>
        <v>86866</v>
      </c>
      <c r="AC20" s="173">
        <f t="shared" si="6"/>
        <v>83625</v>
      </c>
      <c r="AD20" s="173">
        <f t="shared" si="6"/>
        <v>41812</v>
      </c>
    </row>
    <row r="21" spans="1:30" ht="8.5" customHeight="1" x14ac:dyDescent="0.35">
      <c r="B21" s="174"/>
      <c r="D21" s="174"/>
      <c r="E21" s="174"/>
      <c r="I21" s="174"/>
      <c r="J21" s="174"/>
      <c r="K21" s="174"/>
      <c r="L21" s="174"/>
      <c r="M21" s="174"/>
      <c r="N21" s="174"/>
      <c r="O21" s="155"/>
      <c r="P21" s="155"/>
      <c r="Q21" s="155"/>
      <c r="R21" s="155"/>
      <c r="S21" s="174"/>
      <c r="T21" s="174"/>
      <c r="U21" s="174"/>
      <c r="V21" s="174"/>
      <c r="W21" s="819"/>
      <c r="X21" s="174"/>
      <c r="Y21" s="174"/>
      <c r="Z21" s="174"/>
      <c r="AA21" s="174"/>
      <c r="AB21" s="174"/>
      <c r="AC21" s="174"/>
      <c r="AD21" s="174"/>
    </row>
    <row r="22" spans="1:30" ht="14.5" hidden="1" customHeight="1" x14ac:dyDescent="0.35">
      <c r="B22" s="140" t="s">
        <v>145</v>
      </c>
      <c r="C22" s="496">
        <f>ROUND(22025*C9,0)</f>
        <v>22025</v>
      </c>
      <c r="D22" s="496">
        <f>ROUND(C22*D$9,0)</f>
        <v>11013</v>
      </c>
      <c r="E22" s="497">
        <v>6000</v>
      </c>
      <c r="F22" s="123"/>
      <c r="G22" s="123"/>
      <c r="H22" s="123"/>
      <c r="I22" s="497">
        <v>6000</v>
      </c>
      <c r="J22" s="497">
        <v>0</v>
      </c>
      <c r="K22" s="496">
        <f>ROUND((I22/12*10)+J22,0)</f>
        <v>5000</v>
      </c>
      <c r="L22" s="497">
        <v>0</v>
      </c>
      <c r="M22" s="706">
        <v>0</v>
      </c>
      <c r="N22" s="755">
        <v>0</v>
      </c>
      <c r="O22" s="155"/>
      <c r="P22" s="155"/>
      <c r="Q22" s="155"/>
      <c r="R22" s="155"/>
      <c r="S22" s="706">
        <v>6000</v>
      </c>
      <c r="T22" s="706">
        <v>6000</v>
      </c>
      <c r="U22" s="706">
        <v>3000</v>
      </c>
      <c r="V22" s="497">
        <v>6000</v>
      </c>
      <c r="W22" s="497">
        <v>6000</v>
      </c>
      <c r="X22" s="497">
        <v>3000</v>
      </c>
      <c r="Y22" s="706">
        <v>6000</v>
      </c>
      <c r="Z22" s="706">
        <v>6000</v>
      </c>
      <c r="AA22" s="706">
        <v>3000</v>
      </c>
      <c r="AB22" s="497">
        <v>6000</v>
      </c>
      <c r="AC22" s="497">
        <v>6000</v>
      </c>
      <c r="AD22" s="497">
        <v>3000</v>
      </c>
    </row>
    <row r="23" spans="1:30" ht="14.5" hidden="1" customHeight="1" x14ac:dyDescent="0.35">
      <c r="A23" s="916"/>
      <c r="B23" s="154" t="s">
        <v>166</v>
      </c>
      <c r="C23" s="147"/>
      <c r="D23" s="104"/>
      <c r="E23" s="358">
        <v>0</v>
      </c>
      <c r="F23" s="259"/>
      <c r="G23" s="259"/>
      <c r="H23" s="259"/>
      <c r="I23" s="358">
        <v>0</v>
      </c>
      <c r="J23" s="358">
        <v>0</v>
      </c>
      <c r="K23" s="166">
        <f>ROUND((I23/12*10)+J23,0)</f>
        <v>0</v>
      </c>
      <c r="L23" s="358">
        <v>0</v>
      </c>
      <c r="M23" s="559">
        <v>0</v>
      </c>
      <c r="N23" s="524">
        <v>0</v>
      </c>
      <c r="O23" s="155"/>
      <c r="P23" s="155"/>
      <c r="Q23" s="155"/>
      <c r="R23" s="155"/>
      <c r="S23" s="559">
        <v>0</v>
      </c>
      <c r="T23" s="559">
        <v>0</v>
      </c>
      <c r="U23" s="559">
        <v>0</v>
      </c>
      <c r="V23" s="358">
        <v>0</v>
      </c>
      <c r="W23" s="358">
        <v>0</v>
      </c>
      <c r="X23" s="358">
        <v>0</v>
      </c>
      <c r="Y23" s="559">
        <v>0</v>
      </c>
      <c r="Z23" s="559">
        <v>0</v>
      </c>
      <c r="AA23" s="559">
        <v>0</v>
      </c>
      <c r="AB23" s="358">
        <v>0</v>
      </c>
      <c r="AC23" s="358">
        <v>0</v>
      </c>
      <c r="AD23" s="358">
        <v>0</v>
      </c>
    </row>
    <row r="24" spans="1:30" x14ac:dyDescent="0.35">
      <c r="A24" s="1383" t="s">
        <v>147</v>
      </c>
      <c r="B24" s="175" t="s">
        <v>147</v>
      </c>
      <c r="C24" s="141"/>
      <c r="D24" s="913"/>
      <c r="E24" s="496">
        <f>+E22+E23</f>
        <v>6000</v>
      </c>
      <c r="F24" s="123"/>
      <c r="G24" s="123"/>
      <c r="H24" s="123"/>
      <c r="I24" s="496">
        <f t="shared" ref="I24:N24" si="7">+I22+I23</f>
        <v>6000</v>
      </c>
      <c r="J24" s="496">
        <f t="shared" si="7"/>
        <v>0</v>
      </c>
      <c r="K24" s="496">
        <f t="shared" si="7"/>
        <v>5000</v>
      </c>
      <c r="L24" s="931">
        <f t="shared" si="7"/>
        <v>0</v>
      </c>
      <c r="M24" s="914">
        <f t="shared" si="7"/>
        <v>0</v>
      </c>
      <c r="N24" s="915">
        <f t="shared" si="7"/>
        <v>0</v>
      </c>
      <c r="O24" s="155"/>
      <c r="P24" s="155"/>
      <c r="Q24" s="155"/>
      <c r="R24" s="155"/>
      <c r="S24" s="561">
        <f t="shared" ref="S24:AD24" si="8">+S22+S23</f>
        <v>6000</v>
      </c>
      <c r="T24" s="561">
        <f t="shared" si="8"/>
        <v>6000</v>
      </c>
      <c r="U24" s="561">
        <f t="shared" si="8"/>
        <v>3000</v>
      </c>
      <c r="V24" s="359">
        <f t="shared" si="8"/>
        <v>6000</v>
      </c>
      <c r="W24" s="359">
        <f t="shared" si="8"/>
        <v>6000</v>
      </c>
      <c r="X24" s="359">
        <f t="shared" si="8"/>
        <v>3000</v>
      </c>
      <c r="Y24" s="561">
        <f t="shared" si="8"/>
        <v>6000</v>
      </c>
      <c r="Z24" s="561">
        <f t="shared" si="8"/>
        <v>6000</v>
      </c>
      <c r="AA24" s="561">
        <f t="shared" si="8"/>
        <v>3000</v>
      </c>
      <c r="AB24" s="359">
        <f t="shared" si="8"/>
        <v>6000</v>
      </c>
      <c r="AC24" s="359">
        <f t="shared" si="8"/>
        <v>6000</v>
      </c>
      <c r="AD24" s="359">
        <f t="shared" si="8"/>
        <v>3000</v>
      </c>
    </row>
    <row r="25" spans="1:30" ht="14.5" customHeight="1" x14ac:dyDescent="0.35">
      <c r="A25" s="1384"/>
      <c r="B25" s="162" t="s">
        <v>506</v>
      </c>
      <c r="C25" s="147"/>
      <c r="D25" s="156"/>
      <c r="E25" s="390">
        <v>0</v>
      </c>
      <c r="F25" s="912"/>
      <c r="G25" s="912"/>
      <c r="H25" s="912"/>
      <c r="I25" s="390">
        <v>0</v>
      </c>
      <c r="J25" s="390">
        <f>835*4</f>
        <v>3340</v>
      </c>
      <c r="K25" s="359">
        <f>ROUND((I25/12*10)+J25,0)</f>
        <v>3340</v>
      </c>
      <c r="L25" s="932">
        <f>835*12*2</f>
        <v>20040</v>
      </c>
      <c r="M25" s="909">
        <f>835*12*2</f>
        <v>20040</v>
      </c>
      <c r="N25" s="910">
        <v>20040</v>
      </c>
      <c r="O25" s="155"/>
      <c r="P25" s="155"/>
      <c r="Q25" s="155"/>
      <c r="R25" s="155"/>
      <c r="S25" s="114"/>
      <c r="T25" s="114"/>
      <c r="U25" s="114"/>
      <c r="V25" s="147"/>
      <c r="W25" s="147"/>
      <c r="X25" s="147"/>
      <c r="Y25" s="114"/>
      <c r="Z25" s="114"/>
      <c r="AA25" s="114"/>
      <c r="AB25" s="147"/>
      <c r="AC25" s="147"/>
      <c r="AD25" s="147"/>
    </row>
    <row r="26" spans="1:30" x14ac:dyDescent="0.35">
      <c r="A26" s="1384"/>
      <c r="B26" s="154" t="s">
        <v>241</v>
      </c>
      <c r="C26" s="147"/>
      <c r="D26" s="104"/>
      <c r="E26" s="358">
        <v>1800</v>
      </c>
      <c r="F26" s="259"/>
      <c r="G26" s="259"/>
      <c r="H26" s="259"/>
      <c r="I26" s="358">
        <v>1800</v>
      </c>
      <c r="J26" s="358">
        <v>0</v>
      </c>
      <c r="K26" s="166">
        <f>+I26/12*10</f>
        <v>1500</v>
      </c>
      <c r="L26" s="933">
        <v>0</v>
      </c>
      <c r="M26" s="559">
        <v>0</v>
      </c>
      <c r="N26" s="524">
        <v>0</v>
      </c>
      <c r="O26" s="155"/>
      <c r="P26" s="155"/>
      <c r="Q26" s="155"/>
      <c r="R26" s="155"/>
      <c r="S26" s="559">
        <v>1800</v>
      </c>
      <c r="T26" s="559">
        <v>1800</v>
      </c>
      <c r="U26" s="559">
        <v>900</v>
      </c>
      <c r="V26" s="358">
        <v>1800</v>
      </c>
      <c r="W26" s="358">
        <v>1800</v>
      </c>
      <c r="X26" s="358">
        <v>900</v>
      </c>
      <c r="Y26" s="559">
        <v>1800</v>
      </c>
      <c r="Z26" s="559">
        <v>1800</v>
      </c>
      <c r="AA26" s="559">
        <v>900</v>
      </c>
      <c r="AB26" s="358">
        <v>1800</v>
      </c>
      <c r="AC26" s="358">
        <v>1800</v>
      </c>
      <c r="AD26" s="358">
        <v>900</v>
      </c>
    </row>
    <row r="27" spans="1:30" x14ac:dyDescent="0.35">
      <c r="A27" s="1384"/>
      <c r="B27" s="154" t="s">
        <v>407</v>
      </c>
      <c r="C27" s="147"/>
      <c r="D27" s="703"/>
      <c r="E27" s="386">
        <v>0.25</v>
      </c>
      <c r="F27" s="125"/>
      <c r="G27" s="259"/>
      <c r="H27" s="259"/>
      <c r="I27" s="386">
        <v>0.25</v>
      </c>
      <c r="J27" s="386">
        <v>0.25</v>
      </c>
      <c r="K27" s="386">
        <v>0.25</v>
      </c>
      <c r="L27" s="929">
        <v>0.25</v>
      </c>
      <c r="M27" s="560">
        <v>0.25</v>
      </c>
      <c r="N27" s="527">
        <v>0.25</v>
      </c>
      <c r="O27" s="155"/>
      <c r="P27" s="155"/>
      <c r="Q27" s="155"/>
      <c r="R27" s="155"/>
      <c r="S27" s="560">
        <v>0.25</v>
      </c>
      <c r="T27" s="560">
        <v>0.25</v>
      </c>
      <c r="U27" s="560">
        <v>0.25</v>
      </c>
      <c r="V27" s="386">
        <v>0.25</v>
      </c>
      <c r="W27" s="386">
        <v>0.25</v>
      </c>
      <c r="X27" s="386">
        <v>0.25</v>
      </c>
      <c r="Y27" s="560">
        <v>0.25</v>
      </c>
      <c r="Z27" s="560">
        <v>0.25</v>
      </c>
      <c r="AA27" s="560">
        <v>0.25</v>
      </c>
      <c r="AB27" s="386">
        <v>0.25</v>
      </c>
      <c r="AC27" s="386">
        <v>0.25</v>
      </c>
      <c r="AD27" s="386">
        <v>0.25</v>
      </c>
    </row>
    <row r="28" spans="1:30" x14ac:dyDescent="0.35">
      <c r="A28" s="1384"/>
      <c r="B28" s="162" t="s">
        <v>266</v>
      </c>
      <c r="C28" s="390">
        <v>0</v>
      </c>
      <c r="D28" s="389">
        <v>0</v>
      </c>
      <c r="E28" s="359">
        <f>ROUND(+E26/(1-E27),0)</f>
        <v>2400</v>
      </c>
      <c r="F28" s="125"/>
      <c r="G28" s="259"/>
      <c r="H28" s="259"/>
      <c r="I28" s="359">
        <f t="shared" ref="I28:N28" si="9">ROUND(+I26/(1-I27),0)</f>
        <v>2400</v>
      </c>
      <c r="J28" s="359">
        <f t="shared" si="9"/>
        <v>0</v>
      </c>
      <c r="K28" s="359">
        <f t="shared" si="9"/>
        <v>2000</v>
      </c>
      <c r="L28" s="934">
        <f t="shared" si="9"/>
        <v>0</v>
      </c>
      <c r="M28" s="561">
        <f t="shared" si="9"/>
        <v>0</v>
      </c>
      <c r="N28" s="529">
        <f t="shared" si="9"/>
        <v>0</v>
      </c>
      <c r="O28" s="155"/>
      <c r="P28" s="155"/>
      <c r="Q28" s="155"/>
      <c r="R28" s="155"/>
      <c r="S28" s="561">
        <f t="shared" ref="S28:AD28" si="10">ROUND(+S26/(1-S27),0)</f>
        <v>2400</v>
      </c>
      <c r="T28" s="561">
        <f t="shared" si="10"/>
        <v>2400</v>
      </c>
      <c r="U28" s="561">
        <f t="shared" si="10"/>
        <v>1200</v>
      </c>
      <c r="V28" s="359">
        <f t="shared" si="10"/>
        <v>2400</v>
      </c>
      <c r="W28" s="359">
        <f t="shared" si="10"/>
        <v>2400</v>
      </c>
      <c r="X28" s="359">
        <f t="shared" si="10"/>
        <v>1200</v>
      </c>
      <c r="Y28" s="561">
        <f t="shared" si="10"/>
        <v>2400</v>
      </c>
      <c r="Z28" s="561">
        <f t="shared" si="10"/>
        <v>2400</v>
      </c>
      <c r="AA28" s="561">
        <f t="shared" si="10"/>
        <v>1200</v>
      </c>
      <c r="AB28" s="359">
        <f t="shared" si="10"/>
        <v>2400</v>
      </c>
      <c r="AC28" s="359">
        <f t="shared" si="10"/>
        <v>2400</v>
      </c>
      <c r="AD28" s="359">
        <f t="shared" si="10"/>
        <v>1200</v>
      </c>
    </row>
    <row r="29" spans="1:30" x14ac:dyDescent="0.35">
      <c r="A29" s="1385"/>
      <c r="B29" s="169" t="s">
        <v>148</v>
      </c>
      <c r="C29" s="493">
        <v>0</v>
      </c>
      <c r="D29" s="704">
        <v>0</v>
      </c>
      <c r="E29" s="173">
        <f>+E24-E26</f>
        <v>4200</v>
      </c>
      <c r="F29" s="259"/>
      <c r="G29" s="259"/>
      <c r="H29" s="259"/>
      <c r="I29" s="173">
        <f t="shared" ref="I29:N29" si="11">+I24-I26</f>
        <v>4200</v>
      </c>
      <c r="J29" s="173">
        <f t="shared" si="11"/>
        <v>0</v>
      </c>
      <c r="K29" s="173">
        <f t="shared" si="11"/>
        <v>3500</v>
      </c>
      <c r="L29" s="930">
        <f t="shared" si="11"/>
        <v>0</v>
      </c>
      <c r="M29" s="120">
        <f t="shared" si="11"/>
        <v>0</v>
      </c>
      <c r="N29" s="522">
        <f t="shared" si="11"/>
        <v>0</v>
      </c>
      <c r="O29" s="155"/>
      <c r="P29" s="127"/>
      <c r="Q29" s="155"/>
      <c r="R29" s="155"/>
      <c r="S29" s="120">
        <f t="shared" ref="S29:AD29" si="12">+S24-S26</f>
        <v>4200</v>
      </c>
      <c r="T29" s="120">
        <f t="shared" si="12"/>
        <v>4200</v>
      </c>
      <c r="U29" s="120">
        <f t="shared" si="12"/>
        <v>2100</v>
      </c>
      <c r="V29" s="173">
        <f t="shared" si="12"/>
        <v>4200</v>
      </c>
      <c r="W29" s="173">
        <f t="shared" si="12"/>
        <v>4200</v>
      </c>
      <c r="X29" s="173">
        <f t="shared" si="12"/>
        <v>2100</v>
      </c>
      <c r="Y29" s="120">
        <f t="shared" si="12"/>
        <v>4200</v>
      </c>
      <c r="Z29" s="120">
        <f t="shared" si="12"/>
        <v>4200</v>
      </c>
      <c r="AA29" s="120">
        <f t="shared" si="12"/>
        <v>2100</v>
      </c>
      <c r="AB29" s="173">
        <f t="shared" si="12"/>
        <v>4200</v>
      </c>
      <c r="AC29" s="173">
        <f t="shared" si="12"/>
        <v>4200</v>
      </c>
      <c r="AD29" s="173">
        <f t="shared" si="12"/>
        <v>2100</v>
      </c>
    </row>
    <row r="30" spans="1:30" ht="7" customHeight="1" x14ac:dyDescent="0.35">
      <c r="B30" s="174"/>
      <c r="D30" s="174"/>
      <c r="E30" s="174"/>
      <c r="I30" s="174"/>
      <c r="J30" s="174"/>
      <c r="K30" s="174"/>
      <c r="L30" s="174"/>
      <c r="M30" s="174"/>
      <c r="N30" s="174"/>
      <c r="O30" s="155"/>
      <c r="P30" s="155"/>
      <c r="Q30" s="155"/>
      <c r="R30" s="155"/>
      <c r="S30" s="174"/>
      <c r="T30" s="174"/>
      <c r="U30" s="174"/>
      <c r="V30" s="174"/>
      <c r="W30" s="174"/>
      <c r="X30" s="174"/>
      <c r="Y30" s="174"/>
      <c r="Z30" s="174"/>
      <c r="AA30" s="174"/>
      <c r="AB30" s="174"/>
      <c r="AC30" s="174"/>
      <c r="AD30" s="174"/>
    </row>
    <row r="31" spans="1:30" x14ac:dyDescent="0.35">
      <c r="A31" s="1383" t="s">
        <v>127</v>
      </c>
      <c r="B31" s="175" t="s">
        <v>408</v>
      </c>
      <c r="C31" s="378">
        <v>0.1</v>
      </c>
      <c r="D31" s="378">
        <v>0.1</v>
      </c>
      <c r="E31" s="360">
        <v>0.1</v>
      </c>
      <c r="I31" s="360">
        <v>0.1</v>
      </c>
      <c r="J31" s="360">
        <v>0.1</v>
      </c>
      <c r="K31" s="360"/>
      <c r="L31" s="935">
        <v>0.1</v>
      </c>
      <c r="M31" s="555">
        <v>0.1</v>
      </c>
      <c r="N31" s="538">
        <v>0.1</v>
      </c>
      <c r="O31" s="155"/>
      <c r="P31" s="155"/>
      <c r="Q31" s="155"/>
      <c r="R31" s="155"/>
      <c r="S31" s="555">
        <v>0.1</v>
      </c>
      <c r="T31" s="555">
        <v>0.1</v>
      </c>
      <c r="U31" s="555">
        <v>0.1</v>
      </c>
      <c r="V31" s="360">
        <v>0.1</v>
      </c>
      <c r="W31" s="360">
        <v>0.1</v>
      </c>
      <c r="X31" s="360">
        <v>0.1</v>
      </c>
      <c r="Y31" s="555">
        <v>0.1</v>
      </c>
      <c r="Z31" s="555">
        <v>0.1</v>
      </c>
      <c r="AA31" s="555">
        <v>0.1</v>
      </c>
      <c r="AB31" s="360">
        <v>0.1</v>
      </c>
      <c r="AC31" s="360">
        <v>0.1</v>
      </c>
      <c r="AD31" s="360">
        <v>0.1</v>
      </c>
    </row>
    <row r="32" spans="1:30" x14ac:dyDescent="0.35">
      <c r="A32" s="1384"/>
      <c r="B32" s="154" t="s">
        <v>152</v>
      </c>
      <c r="C32" s="144">
        <f>+C20</f>
        <v>62748</v>
      </c>
      <c r="D32" s="144">
        <f>+D20</f>
        <v>31375</v>
      </c>
      <c r="E32" s="379">
        <f>+E20</f>
        <v>70066</v>
      </c>
      <c r="I32" s="379">
        <f>+I20</f>
        <v>72075</v>
      </c>
      <c r="J32" s="379">
        <f>+J20</f>
        <v>11581.833333333334</v>
      </c>
      <c r="K32" s="379">
        <f>ROUND((I32/12*10)+J32,0)</f>
        <v>71644</v>
      </c>
      <c r="L32" s="936">
        <f>+L20</f>
        <v>69491</v>
      </c>
      <c r="M32" s="367">
        <f>+M20</f>
        <v>73672</v>
      </c>
      <c r="N32" s="710">
        <f>+N20</f>
        <v>76620</v>
      </c>
      <c r="O32" s="155"/>
      <c r="P32" s="155"/>
      <c r="Q32" s="155"/>
      <c r="R32" s="155"/>
      <c r="S32" s="367">
        <f t="shared" ref="S32:AD32" si="13">+S20</f>
        <v>84567</v>
      </c>
      <c r="T32" s="367">
        <f t="shared" si="13"/>
        <v>81414</v>
      </c>
      <c r="U32" s="367">
        <f t="shared" si="13"/>
        <v>40707</v>
      </c>
      <c r="V32" s="379">
        <f t="shared" si="13"/>
        <v>85333</v>
      </c>
      <c r="W32" s="379">
        <f t="shared" si="13"/>
        <v>82151</v>
      </c>
      <c r="X32" s="379">
        <f t="shared" si="13"/>
        <v>41075.5</v>
      </c>
      <c r="Y32" s="367">
        <f t="shared" si="13"/>
        <v>86100</v>
      </c>
      <c r="Z32" s="367">
        <f t="shared" si="13"/>
        <v>82887</v>
      </c>
      <c r="AA32" s="367">
        <f t="shared" si="13"/>
        <v>41443.5</v>
      </c>
      <c r="AB32" s="379">
        <f t="shared" si="13"/>
        <v>86866</v>
      </c>
      <c r="AC32" s="379">
        <f t="shared" si="13"/>
        <v>83625</v>
      </c>
      <c r="AD32" s="379">
        <f t="shared" si="13"/>
        <v>41812</v>
      </c>
    </row>
    <row r="33" spans="1:30" x14ac:dyDescent="0.35">
      <c r="A33" s="1384"/>
      <c r="B33" s="154" t="s">
        <v>127</v>
      </c>
      <c r="C33" s="144">
        <f>ROUND(+C32*C31,0)</f>
        <v>6275</v>
      </c>
      <c r="D33" s="144">
        <f>ROUND(+D32*D31,0)</f>
        <v>3138</v>
      </c>
      <c r="E33" s="379">
        <f>ROUND(+E32*E31,0)</f>
        <v>7007</v>
      </c>
      <c r="I33" s="379">
        <f>ROUND(+I32*I31,0)</f>
        <v>7208</v>
      </c>
      <c r="J33" s="379">
        <f>ROUND(+J32*J31,0)</f>
        <v>1158</v>
      </c>
      <c r="K33" s="379">
        <f>ROUND((I33/12*10)+J33,0)</f>
        <v>7165</v>
      </c>
      <c r="L33" s="936">
        <f>ROUND(+L32*L31,0)</f>
        <v>6949</v>
      </c>
      <c r="M33" s="367">
        <f>ROUND(+M32*M31,0)</f>
        <v>7367</v>
      </c>
      <c r="N33" s="710">
        <f>ROUND(+N32*N31,0)</f>
        <v>7662</v>
      </c>
      <c r="S33" s="367">
        <f t="shared" ref="S33:AD33" si="14">ROUND(+S32*S31,0)</f>
        <v>8457</v>
      </c>
      <c r="T33" s="367">
        <f t="shared" si="14"/>
        <v>8141</v>
      </c>
      <c r="U33" s="367">
        <f t="shared" si="14"/>
        <v>4071</v>
      </c>
      <c r="V33" s="379">
        <f t="shared" si="14"/>
        <v>8533</v>
      </c>
      <c r="W33" s="379">
        <f t="shared" si="14"/>
        <v>8215</v>
      </c>
      <c r="X33" s="379">
        <f t="shared" si="14"/>
        <v>4108</v>
      </c>
      <c r="Y33" s="367">
        <f t="shared" si="14"/>
        <v>8610</v>
      </c>
      <c r="Z33" s="367">
        <f t="shared" si="14"/>
        <v>8289</v>
      </c>
      <c r="AA33" s="367">
        <f t="shared" si="14"/>
        <v>4144</v>
      </c>
      <c r="AB33" s="379">
        <f t="shared" si="14"/>
        <v>8687</v>
      </c>
      <c r="AC33" s="379">
        <f t="shared" si="14"/>
        <v>8363</v>
      </c>
      <c r="AD33" s="379">
        <f t="shared" si="14"/>
        <v>4181</v>
      </c>
    </row>
    <row r="34" spans="1:30" x14ac:dyDescent="0.35">
      <c r="A34" s="1384"/>
      <c r="B34" s="154" t="s">
        <v>150</v>
      </c>
      <c r="C34" s="144">
        <f>+C29</f>
        <v>0</v>
      </c>
      <c r="D34" s="144">
        <f>+D29</f>
        <v>0</v>
      </c>
      <c r="E34" s="379">
        <f>+E29</f>
        <v>4200</v>
      </c>
      <c r="I34" s="379">
        <f>+I29</f>
        <v>4200</v>
      </c>
      <c r="J34" s="379">
        <f>+J29</f>
        <v>0</v>
      </c>
      <c r="K34" s="379">
        <f>ROUND((I34/12*10)+J34,0)</f>
        <v>3500</v>
      </c>
      <c r="L34" s="936">
        <f>+L29</f>
        <v>0</v>
      </c>
      <c r="M34" s="367">
        <f>+M29</f>
        <v>0</v>
      </c>
      <c r="N34" s="710">
        <f>+N29</f>
        <v>0</v>
      </c>
      <c r="S34" s="367">
        <f t="shared" ref="S34:AD34" si="15">+S29</f>
        <v>4200</v>
      </c>
      <c r="T34" s="367">
        <f t="shared" si="15"/>
        <v>4200</v>
      </c>
      <c r="U34" s="367">
        <f t="shared" si="15"/>
        <v>2100</v>
      </c>
      <c r="V34" s="379">
        <f t="shared" si="15"/>
        <v>4200</v>
      </c>
      <c r="W34" s="379">
        <f t="shared" si="15"/>
        <v>4200</v>
      </c>
      <c r="X34" s="379">
        <f t="shared" si="15"/>
        <v>2100</v>
      </c>
      <c r="Y34" s="367">
        <f t="shared" si="15"/>
        <v>4200</v>
      </c>
      <c r="Z34" s="367">
        <f t="shared" si="15"/>
        <v>4200</v>
      </c>
      <c r="AA34" s="367">
        <f t="shared" si="15"/>
        <v>2100</v>
      </c>
      <c r="AB34" s="379">
        <f t="shared" si="15"/>
        <v>4200</v>
      </c>
      <c r="AC34" s="379">
        <f t="shared" si="15"/>
        <v>4200</v>
      </c>
      <c r="AD34" s="379">
        <f t="shared" si="15"/>
        <v>2100</v>
      </c>
    </row>
    <row r="35" spans="1:30" x14ac:dyDescent="0.35">
      <c r="A35" s="1384"/>
      <c r="B35" s="154" t="s">
        <v>243</v>
      </c>
      <c r="C35" s="144"/>
      <c r="D35" s="144"/>
      <c r="E35" s="379">
        <f>+E34+E33</f>
        <v>11207</v>
      </c>
      <c r="I35" s="379">
        <f t="shared" ref="I35:N35" si="16">+I34+I33</f>
        <v>11408</v>
      </c>
      <c r="J35" s="379">
        <f t="shared" si="16"/>
        <v>1158</v>
      </c>
      <c r="K35" s="379">
        <f t="shared" si="16"/>
        <v>10665</v>
      </c>
      <c r="L35" s="936">
        <f t="shared" si="16"/>
        <v>6949</v>
      </c>
      <c r="M35" s="367">
        <f t="shared" si="16"/>
        <v>7367</v>
      </c>
      <c r="N35" s="710">
        <f t="shared" si="16"/>
        <v>7662</v>
      </c>
      <c r="S35" s="367">
        <f t="shared" ref="S35:AD35" si="17">+S34+S33</f>
        <v>12657</v>
      </c>
      <c r="T35" s="367">
        <f t="shared" si="17"/>
        <v>12341</v>
      </c>
      <c r="U35" s="367">
        <f t="shared" si="17"/>
        <v>6171</v>
      </c>
      <c r="V35" s="379">
        <f t="shared" si="17"/>
        <v>12733</v>
      </c>
      <c r="W35" s="379">
        <f t="shared" si="17"/>
        <v>12415</v>
      </c>
      <c r="X35" s="379">
        <f t="shared" si="17"/>
        <v>6208</v>
      </c>
      <c r="Y35" s="367">
        <f t="shared" si="17"/>
        <v>12810</v>
      </c>
      <c r="Z35" s="367">
        <f t="shared" si="17"/>
        <v>12489</v>
      </c>
      <c r="AA35" s="367">
        <f t="shared" si="17"/>
        <v>6244</v>
      </c>
      <c r="AB35" s="379">
        <f t="shared" si="17"/>
        <v>12887</v>
      </c>
      <c r="AC35" s="379">
        <f t="shared" si="17"/>
        <v>12563</v>
      </c>
      <c r="AD35" s="379">
        <f t="shared" si="17"/>
        <v>6281</v>
      </c>
    </row>
    <row r="36" spans="1:30" x14ac:dyDescent="0.35">
      <c r="A36" s="1384"/>
      <c r="B36" s="154" t="s">
        <v>154</v>
      </c>
      <c r="C36" s="764">
        <f>+C38/C32</f>
        <v>0.10000318735258494</v>
      </c>
      <c r="D36" s="764">
        <f>+D38/D32</f>
        <v>0.10001593625498008</v>
      </c>
      <c r="E36" s="552">
        <f>+E35/E20</f>
        <v>0.15994919076299488</v>
      </c>
      <c r="I36" s="552">
        <f>+I35/I20</f>
        <v>0.15827956989247313</v>
      </c>
      <c r="J36" s="552">
        <f>+J35/J20</f>
        <v>9.9984170612021694E-2</v>
      </c>
      <c r="K36" s="552">
        <f>+K35/K20</f>
        <v>0.14886103511808385</v>
      </c>
      <c r="L36" s="937">
        <f>IF(L20=0,0,+L35/L20)</f>
        <v>9.9998560964729241E-2</v>
      </c>
      <c r="M36" s="385">
        <f>IF(M20=0,0,+M35/M20)</f>
        <v>9.9997285264415245E-2</v>
      </c>
      <c r="N36" s="517">
        <f>+N35/N20</f>
        <v>0.1</v>
      </c>
      <c r="S36" s="385">
        <f t="shared" ref="S36:AD36" si="18">+S35/S20</f>
        <v>0.14966831033381817</v>
      </c>
      <c r="T36" s="385">
        <f t="shared" si="18"/>
        <v>0.15158326577738473</v>
      </c>
      <c r="U36" s="385">
        <f t="shared" si="18"/>
        <v>0.15159554867713171</v>
      </c>
      <c r="V36" s="552">
        <f t="shared" si="18"/>
        <v>0.14921542662276024</v>
      </c>
      <c r="W36" s="552">
        <f t="shared" si="18"/>
        <v>0.15112414943214325</v>
      </c>
      <c r="X36" s="552">
        <f t="shared" si="18"/>
        <v>0.15113632213850106</v>
      </c>
      <c r="Y36" s="385">
        <f t="shared" si="18"/>
        <v>0.14878048780487804</v>
      </c>
      <c r="Z36" s="385">
        <f t="shared" si="18"/>
        <v>0.15067501538238806</v>
      </c>
      <c r="AA36" s="385">
        <f t="shared" si="18"/>
        <v>0.15066295076429356</v>
      </c>
      <c r="AB36" s="552">
        <f t="shared" si="18"/>
        <v>0.14835493748992701</v>
      </c>
      <c r="AC36" s="552">
        <f t="shared" si="18"/>
        <v>0.15023019431988041</v>
      </c>
      <c r="AD36" s="552">
        <f t="shared" si="18"/>
        <v>0.15022003252654739</v>
      </c>
    </row>
    <row r="37" spans="1:30" x14ac:dyDescent="0.35">
      <c r="A37" s="1384"/>
      <c r="B37" s="154" t="s">
        <v>242</v>
      </c>
      <c r="C37" s="144"/>
      <c r="D37" s="144"/>
      <c r="E37" s="553">
        <v>0.16</v>
      </c>
      <c r="I37" s="553">
        <v>0.16</v>
      </c>
      <c r="J37" s="553">
        <v>0.1</v>
      </c>
      <c r="K37" s="553"/>
      <c r="L37" s="938">
        <v>0.1</v>
      </c>
      <c r="M37" s="558">
        <v>0.1</v>
      </c>
      <c r="N37" s="518">
        <v>0.1</v>
      </c>
      <c r="S37" s="558">
        <v>0.155</v>
      </c>
      <c r="T37" s="558">
        <v>0.155</v>
      </c>
      <c r="U37" s="558">
        <v>0.155</v>
      </c>
      <c r="V37" s="553">
        <v>0.15</v>
      </c>
      <c r="W37" s="553">
        <v>0.155</v>
      </c>
      <c r="X37" s="553">
        <v>0.155</v>
      </c>
      <c r="Y37" s="558">
        <v>0.15</v>
      </c>
      <c r="Z37" s="558">
        <v>0.155</v>
      </c>
      <c r="AA37" s="558">
        <v>0.155</v>
      </c>
      <c r="AB37" s="553">
        <v>0.15</v>
      </c>
      <c r="AC37" s="553">
        <v>0.155</v>
      </c>
      <c r="AD37" s="553">
        <v>0.155</v>
      </c>
    </row>
    <row r="38" spans="1:30" x14ac:dyDescent="0.35">
      <c r="A38" s="1385"/>
      <c r="B38" s="169" t="s">
        <v>151</v>
      </c>
      <c r="C38" s="173">
        <f>+C33+C34</f>
        <v>6275</v>
      </c>
      <c r="D38" s="173">
        <f>+D33+D34</f>
        <v>3138</v>
      </c>
      <c r="E38" s="356">
        <f>ROUND(+E37*E20,0)</f>
        <v>11211</v>
      </c>
      <c r="I38" s="356">
        <f>ROUND(+I37*I20,0)</f>
        <v>11532</v>
      </c>
      <c r="J38" s="356">
        <f>ROUND(+J37*J20,0)</f>
        <v>1158</v>
      </c>
      <c r="K38" s="356">
        <f>+K35</f>
        <v>10665</v>
      </c>
      <c r="L38" s="939">
        <f>ROUND(+L37*L20,0)</f>
        <v>6949</v>
      </c>
      <c r="M38" s="194">
        <f>ROUND(+M37*M20,0)</f>
        <v>7367</v>
      </c>
      <c r="N38" s="548">
        <f>ROUND(+N37*N20,0)</f>
        <v>7662</v>
      </c>
      <c r="P38" s="117"/>
      <c r="S38" s="194">
        <f t="shared" ref="S38:AD38" si="19">ROUND(+S37*S20,0)</f>
        <v>13108</v>
      </c>
      <c r="T38" s="194">
        <f t="shared" si="19"/>
        <v>12619</v>
      </c>
      <c r="U38" s="194">
        <f t="shared" si="19"/>
        <v>6310</v>
      </c>
      <c r="V38" s="356">
        <f t="shared" si="19"/>
        <v>12800</v>
      </c>
      <c r="W38" s="356">
        <f t="shared" si="19"/>
        <v>12733</v>
      </c>
      <c r="X38" s="356">
        <f t="shared" si="19"/>
        <v>6367</v>
      </c>
      <c r="Y38" s="194">
        <f t="shared" si="19"/>
        <v>12915</v>
      </c>
      <c r="Z38" s="194">
        <f t="shared" si="19"/>
        <v>12847</v>
      </c>
      <c r="AA38" s="194">
        <f t="shared" si="19"/>
        <v>6424</v>
      </c>
      <c r="AB38" s="356">
        <f t="shared" si="19"/>
        <v>13030</v>
      </c>
      <c r="AC38" s="356">
        <f t="shared" si="19"/>
        <v>12962</v>
      </c>
      <c r="AD38" s="356">
        <f t="shared" si="19"/>
        <v>6481</v>
      </c>
    </row>
    <row r="39" spans="1:30" ht="7" customHeight="1" x14ac:dyDescent="0.35">
      <c r="B39" s="174"/>
      <c r="D39" s="174"/>
      <c r="E39" s="174"/>
      <c r="I39" s="174"/>
      <c r="J39" s="174"/>
      <c r="K39" s="174"/>
      <c r="L39" s="174"/>
      <c r="M39" s="174"/>
      <c r="N39" s="174"/>
      <c r="S39" s="174"/>
      <c r="T39" s="174"/>
      <c r="U39" s="174"/>
      <c r="V39" s="174"/>
      <c r="W39" s="174"/>
      <c r="X39" s="174"/>
      <c r="Y39" s="174"/>
      <c r="Z39" s="174"/>
      <c r="AA39" s="174"/>
      <c r="AB39" s="174"/>
      <c r="AC39" s="174"/>
      <c r="AD39" s="174"/>
    </row>
    <row r="40" spans="1:30" x14ac:dyDescent="0.35">
      <c r="A40" s="1383" t="s">
        <v>128</v>
      </c>
      <c r="B40" s="140" t="s">
        <v>409</v>
      </c>
      <c r="C40" s="378">
        <v>1.4999999999999999E-2</v>
      </c>
      <c r="D40" s="378">
        <v>1.4999999999999999E-2</v>
      </c>
      <c r="E40" s="378">
        <v>1.4999999999999999E-2</v>
      </c>
      <c r="I40" s="378">
        <v>1.4999999999999999E-2</v>
      </c>
      <c r="J40" s="378">
        <v>1.4999999999999999E-2</v>
      </c>
      <c r="K40" s="378">
        <v>1.4999999999999999E-2</v>
      </c>
      <c r="L40" s="940">
        <v>1.4999999999999999E-2</v>
      </c>
      <c r="M40" s="364">
        <v>1.4999999999999999E-2</v>
      </c>
      <c r="N40" s="756">
        <v>1.4999999999999999E-2</v>
      </c>
      <c r="S40" s="364">
        <v>1.4999999999999999E-2</v>
      </c>
      <c r="T40" s="364">
        <v>1.4999999999999999E-2</v>
      </c>
      <c r="U40" s="364">
        <v>1.4999999999999999E-2</v>
      </c>
      <c r="V40" s="378">
        <v>1.4999999999999999E-2</v>
      </c>
      <c r="W40" s="378">
        <v>1.4999999999999999E-2</v>
      </c>
      <c r="X40" s="378">
        <v>1.4999999999999999E-2</v>
      </c>
      <c r="Y40" s="364">
        <v>1.4999999999999999E-2</v>
      </c>
      <c r="Z40" s="364">
        <v>1.4999999999999999E-2</v>
      </c>
      <c r="AA40" s="364">
        <v>1.4999999999999999E-2</v>
      </c>
      <c r="AB40" s="378">
        <v>1.4999999999999999E-2</v>
      </c>
      <c r="AC40" s="378">
        <v>1.4999999999999999E-2</v>
      </c>
      <c r="AD40" s="378">
        <v>1.4999999999999999E-2</v>
      </c>
    </row>
    <row r="41" spans="1:30" x14ac:dyDescent="0.35">
      <c r="A41" s="1384"/>
      <c r="B41" s="154" t="s">
        <v>410</v>
      </c>
      <c r="C41" s="361">
        <v>7.0000000000000001E-3</v>
      </c>
      <c r="D41" s="361">
        <v>7.0000000000000001E-3</v>
      </c>
      <c r="E41" s="361">
        <v>7.0000000000000001E-3</v>
      </c>
      <c r="I41" s="361">
        <v>7.0000000000000001E-3</v>
      </c>
      <c r="J41" s="361">
        <v>7.0000000000000001E-3</v>
      </c>
      <c r="K41" s="361">
        <v>7.0000000000000001E-3</v>
      </c>
      <c r="L41" s="925">
        <v>7.0000000000000001E-3</v>
      </c>
      <c r="M41" s="365">
        <v>7.0000000000000001E-3</v>
      </c>
      <c r="N41" s="544">
        <v>7.0000000000000001E-3</v>
      </c>
      <c r="P41" s="117"/>
      <c r="S41" s="365">
        <v>7.0000000000000001E-3</v>
      </c>
      <c r="T41" s="365">
        <v>7.0000000000000001E-3</v>
      </c>
      <c r="U41" s="365">
        <v>7.0000000000000001E-3</v>
      </c>
      <c r="V41" s="361">
        <v>7.0000000000000001E-3</v>
      </c>
      <c r="W41" s="361">
        <v>7.0000000000000001E-3</v>
      </c>
      <c r="X41" s="361">
        <v>7.0000000000000001E-3</v>
      </c>
      <c r="Y41" s="365">
        <v>7.0000000000000001E-3</v>
      </c>
      <c r="Z41" s="365">
        <v>7.0000000000000001E-3</v>
      </c>
      <c r="AA41" s="365">
        <v>7.0000000000000001E-3</v>
      </c>
      <c r="AB41" s="361">
        <v>7.0000000000000001E-3</v>
      </c>
      <c r="AC41" s="361">
        <v>7.0000000000000001E-3</v>
      </c>
      <c r="AD41" s="361">
        <v>7.0000000000000001E-3</v>
      </c>
    </row>
    <row r="42" spans="1:30" hidden="1" x14ac:dyDescent="0.35">
      <c r="A42" s="1384"/>
      <c r="B42" s="154" t="s">
        <v>236</v>
      </c>
      <c r="C42" s="361">
        <v>7.0000000000000001E-3</v>
      </c>
      <c r="D42" s="361">
        <v>7.0000000000000001E-3</v>
      </c>
      <c r="E42" s="361">
        <v>0</v>
      </c>
      <c r="F42" s="1412" t="s">
        <v>269</v>
      </c>
      <c r="G42" s="1413"/>
      <c r="H42" s="1414"/>
      <c r="I42" s="361">
        <v>0</v>
      </c>
      <c r="J42" s="361">
        <v>0</v>
      </c>
      <c r="K42" s="361">
        <v>0</v>
      </c>
      <c r="L42" s="925">
        <v>0</v>
      </c>
      <c r="M42" s="365">
        <v>0</v>
      </c>
      <c r="N42" s="544">
        <v>0</v>
      </c>
      <c r="S42" s="365">
        <v>0</v>
      </c>
      <c r="T42" s="365">
        <v>0</v>
      </c>
      <c r="U42" s="365">
        <v>0</v>
      </c>
      <c r="V42" s="361">
        <v>0</v>
      </c>
      <c r="W42" s="361">
        <v>0</v>
      </c>
      <c r="X42" s="361">
        <v>0</v>
      </c>
      <c r="Y42" s="365">
        <v>0</v>
      </c>
      <c r="Z42" s="365">
        <v>0</v>
      </c>
      <c r="AA42" s="365">
        <v>0</v>
      </c>
      <c r="AB42" s="361">
        <v>0</v>
      </c>
      <c r="AC42" s="361">
        <v>0</v>
      </c>
      <c r="AD42" s="361">
        <v>0</v>
      </c>
    </row>
    <row r="43" spans="1:30" x14ac:dyDescent="0.35">
      <c r="A43" s="1384"/>
      <c r="B43" s="154" t="s">
        <v>411</v>
      </c>
      <c r="C43" s="362">
        <f>+C40+C41+C42</f>
        <v>2.8999999999999998E-2</v>
      </c>
      <c r="D43" s="362">
        <f>+D40+D41+D42</f>
        <v>2.8999999999999998E-2</v>
      </c>
      <c r="E43" s="362">
        <f>+E40+E41+E42</f>
        <v>2.1999999999999999E-2</v>
      </c>
      <c r="I43" s="362">
        <f t="shared" ref="I43:N43" si="20">+I40+I41+I42</f>
        <v>2.1999999999999999E-2</v>
      </c>
      <c r="J43" s="362">
        <f t="shared" si="20"/>
        <v>2.1999999999999999E-2</v>
      </c>
      <c r="K43" s="362">
        <f t="shared" si="20"/>
        <v>2.1999999999999999E-2</v>
      </c>
      <c r="L43" s="941">
        <f t="shared" si="20"/>
        <v>2.1999999999999999E-2</v>
      </c>
      <c r="M43" s="366">
        <f t="shared" si="20"/>
        <v>2.1999999999999999E-2</v>
      </c>
      <c r="N43" s="545">
        <f t="shared" si="20"/>
        <v>2.1999999999999999E-2</v>
      </c>
      <c r="S43" s="366">
        <f t="shared" ref="S43:AD43" si="21">+S40+S41+S42</f>
        <v>2.1999999999999999E-2</v>
      </c>
      <c r="T43" s="366">
        <f t="shared" si="21"/>
        <v>2.1999999999999999E-2</v>
      </c>
      <c r="U43" s="366">
        <f t="shared" si="21"/>
        <v>2.1999999999999999E-2</v>
      </c>
      <c r="V43" s="362">
        <f t="shared" si="21"/>
        <v>2.1999999999999999E-2</v>
      </c>
      <c r="W43" s="362">
        <f t="shared" si="21"/>
        <v>2.1999999999999999E-2</v>
      </c>
      <c r="X43" s="362">
        <f t="shared" si="21"/>
        <v>2.1999999999999999E-2</v>
      </c>
      <c r="Y43" s="366">
        <f t="shared" si="21"/>
        <v>2.1999999999999999E-2</v>
      </c>
      <c r="Z43" s="366">
        <f t="shared" si="21"/>
        <v>2.1999999999999999E-2</v>
      </c>
      <c r="AA43" s="366">
        <f t="shared" si="21"/>
        <v>2.1999999999999999E-2</v>
      </c>
      <c r="AB43" s="362">
        <f t="shared" si="21"/>
        <v>2.1999999999999999E-2</v>
      </c>
      <c r="AC43" s="362">
        <f t="shared" si="21"/>
        <v>2.1999999999999999E-2</v>
      </c>
      <c r="AD43" s="362">
        <f t="shared" si="21"/>
        <v>2.1999999999999999E-2</v>
      </c>
    </row>
    <row r="44" spans="1:30" x14ac:dyDescent="0.35">
      <c r="A44" s="1384"/>
      <c r="B44" s="154" t="s">
        <v>152</v>
      </c>
      <c r="C44" s="144">
        <f>+C20</f>
        <v>62748</v>
      </c>
      <c r="D44" s="144">
        <f>+D20</f>
        <v>31375</v>
      </c>
      <c r="E44" s="144">
        <f>+E20</f>
        <v>70066</v>
      </c>
      <c r="I44" s="144">
        <f t="shared" ref="I44:N44" si="22">+I20</f>
        <v>72075</v>
      </c>
      <c r="J44" s="144">
        <f t="shared" si="22"/>
        <v>11581.833333333334</v>
      </c>
      <c r="K44" s="144">
        <f t="shared" si="22"/>
        <v>71644</v>
      </c>
      <c r="L44" s="942">
        <f t="shared" si="22"/>
        <v>69491</v>
      </c>
      <c r="M44" s="113">
        <f t="shared" si="22"/>
        <v>73672</v>
      </c>
      <c r="N44" s="511">
        <f t="shared" si="22"/>
        <v>76620</v>
      </c>
      <c r="S44" s="113">
        <f t="shared" ref="S44:AD44" si="23">+S20</f>
        <v>84567</v>
      </c>
      <c r="T44" s="113">
        <f t="shared" si="23"/>
        <v>81414</v>
      </c>
      <c r="U44" s="113">
        <f t="shared" si="23"/>
        <v>40707</v>
      </c>
      <c r="V44" s="144">
        <f t="shared" si="23"/>
        <v>85333</v>
      </c>
      <c r="W44" s="144">
        <f t="shared" si="23"/>
        <v>82151</v>
      </c>
      <c r="X44" s="144">
        <f t="shared" si="23"/>
        <v>41075.5</v>
      </c>
      <c r="Y44" s="113">
        <f t="shared" si="23"/>
        <v>86100</v>
      </c>
      <c r="Z44" s="113">
        <f t="shared" si="23"/>
        <v>82887</v>
      </c>
      <c r="AA44" s="113">
        <f t="shared" si="23"/>
        <v>41443.5</v>
      </c>
      <c r="AB44" s="144">
        <f t="shared" si="23"/>
        <v>86866</v>
      </c>
      <c r="AC44" s="144">
        <f t="shared" si="23"/>
        <v>83625</v>
      </c>
      <c r="AD44" s="144">
        <f t="shared" si="23"/>
        <v>41812</v>
      </c>
    </row>
    <row r="45" spans="1:30" x14ac:dyDescent="0.35">
      <c r="A45" s="1385"/>
      <c r="B45" s="130" t="s">
        <v>155</v>
      </c>
      <c r="C45" s="173">
        <f>ROUND(+C44*C43,0)</f>
        <v>1820</v>
      </c>
      <c r="D45" s="173">
        <f>ROUND(+D44*D43,0)</f>
        <v>910</v>
      </c>
      <c r="E45" s="494">
        <f>ROUND(+E44*E43,0)</f>
        <v>1541</v>
      </c>
      <c r="I45" s="173">
        <f t="shared" ref="I45:N45" si="24">ROUND(+I44*I43,0)</f>
        <v>1586</v>
      </c>
      <c r="J45" s="173">
        <f t="shared" si="24"/>
        <v>255</v>
      </c>
      <c r="K45" s="173">
        <f t="shared" si="24"/>
        <v>1576</v>
      </c>
      <c r="L45" s="930">
        <f t="shared" si="24"/>
        <v>1529</v>
      </c>
      <c r="M45" s="120">
        <f t="shared" si="24"/>
        <v>1621</v>
      </c>
      <c r="N45" s="522">
        <f t="shared" si="24"/>
        <v>1686</v>
      </c>
      <c r="S45" s="120">
        <f t="shared" ref="S45:AD45" si="25">ROUND(+S44*S43,0)</f>
        <v>1860</v>
      </c>
      <c r="T45" s="120">
        <f t="shared" si="25"/>
        <v>1791</v>
      </c>
      <c r="U45" s="120">
        <f t="shared" si="25"/>
        <v>896</v>
      </c>
      <c r="V45" s="173">
        <f t="shared" si="25"/>
        <v>1877</v>
      </c>
      <c r="W45" s="173">
        <f t="shared" si="25"/>
        <v>1807</v>
      </c>
      <c r="X45" s="173">
        <f t="shared" si="25"/>
        <v>904</v>
      </c>
      <c r="Y45" s="120">
        <f t="shared" si="25"/>
        <v>1894</v>
      </c>
      <c r="Z45" s="120">
        <f t="shared" si="25"/>
        <v>1824</v>
      </c>
      <c r="AA45" s="120">
        <f t="shared" si="25"/>
        <v>912</v>
      </c>
      <c r="AB45" s="173">
        <f t="shared" si="25"/>
        <v>1911</v>
      </c>
      <c r="AC45" s="173">
        <f t="shared" si="25"/>
        <v>1840</v>
      </c>
      <c r="AD45" s="173">
        <f t="shared" si="25"/>
        <v>920</v>
      </c>
    </row>
    <row r="46" spans="1:30" ht="7.5" customHeight="1" x14ac:dyDescent="0.35">
      <c r="D46" s="174"/>
      <c r="I46" s="174"/>
      <c r="J46" s="174"/>
      <c r="K46" s="174"/>
      <c r="L46" s="174"/>
      <c r="V46" s="174"/>
      <c r="W46" s="174"/>
      <c r="X46" s="174"/>
      <c r="AB46" s="174"/>
      <c r="AC46" s="174"/>
      <c r="AD46" s="174"/>
    </row>
    <row r="47" spans="1:30" x14ac:dyDescent="0.35">
      <c r="A47" s="1383" t="s">
        <v>99</v>
      </c>
      <c r="B47" s="122" t="s">
        <v>160</v>
      </c>
      <c r="C47" s="498">
        <v>1200</v>
      </c>
      <c r="D47" s="705">
        <f>ROUND(C47*D$9,0)</f>
        <v>600</v>
      </c>
      <c r="E47" s="498">
        <v>1200</v>
      </c>
      <c r="I47" s="498">
        <v>1200</v>
      </c>
      <c r="J47" s="705">
        <f>+I47/12*2</f>
        <v>200</v>
      </c>
      <c r="K47" s="705">
        <f>ROUND((I47/12*10)+J47,0)</f>
        <v>1200</v>
      </c>
      <c r="L47" s="943">
        <v>1200</v>
      </c>
      <c r="M47" s="707">
        <v>1200</v>
      </c>
      <c r="N47" s="757">
        <v>1200</v>
      </c>
      <c r="S47" s="707">
        <v>1200</v>
      </c>
      <c r="T47" s="707">
        <v>1200</v>
      </c>
      <c r="U47" s="707">
        <v>600</v>
      </c>
      <c r="V47" s="498">
        <v>1200</v>
      </c>
      <c r="W47" s="498">
        <v>1200</v>
      </c>
      <c r="X47" s="498">
        <v>600</v>
      </c>
      <c r="Y47" s="707">
        <v>1200</v>
      </c>
      <c r="Z47" s="707">
        <v>1200</v>
      </c>
      <c r="AA47" s="707">
        <v>600</v>
      </c>
      <c r="AB47" s="498">
        <v>1200</v>
      </c>
      <c r="AC47" s="498">
        <v>1200</v>
      </c>
      <c r="AD47" s="498">
        <v>600</v>
      </c>
    </row>
    <row r="48" spans="1:30" x14ac:dyDescent="0.35">
      <c r="A48" s="1384"/>
      <c r="B48" s="124" t="s">
        <v>378</v>
      </c>
      <c r="C48" s="355">
        <v>750</v>
      </c>
      <c r="D48" s="379">
        <f>ROUND(C48*D$9,0)</f>
        <v>375</v>
      </c>
      <c r="E48" s="355">
        <v>1300</v>
      </c>
      <c r="I48" s="355">
        <v>1300</v>
      </c>
      <c r="J48" s="379">
        <f>+I48/12*2</f>
        <v>216.66666666666666</v>
      </c>
      <c r="K48" s="379">
        <f>ROUND((I48/12*10)+J48,0)</f>
        <v>1300</v>
      </c>
      <c r="L48" s="944">
        <v>1300</v>
      </c>
      <c r="M48" s="193">
        <v>1300</v>
      </c>
      <c r="N48" s="546">
        <v>1300</v>
      </c>
      <c r="S48" s="193">
        <v>1300</v>
      </c>
      <c r="T48" s="193">
        <v>1300</v>
      </c>
      <c r="U48" s="193">
        <f>+S48/2</f>
        <v>650</v>
      </c>
      <c r="V48" s="355">
        <v>1300</v>
      </c>
      <c r="W48" s="355">
        <v>1300</v>
      </c>
      <c r="X48" s="355">
        <f>+V48/2</f>
        <v>650</v>
      </c>
      <c r="Y48" s="193">
        <v>1300</v>
      </c>
      <c r="Z48" s="193">
        <v>1300</v>
      </c>
      <c r="AA48" s="193">
        <f>+Y48/2</f>
        <v>650</v>
      </c>
      <c r="AB48" s="355">
        <v>1300</v>
      </c>
      <c r="AC48" s="355">
        <v>1300</v>
      </c>
      <c r="AD48" s="355">
        <f>+AB48/2</f>
        <v>650</v>
      </c>
    </row>
    <row r="49" spans="1:30" x14ac:dyDescent="0.35">
      <c r="A49" s="1384"/>
      <c r="B49" s="124" t="s">
        <v>382</v>
      </c>
      <c r="C49" s="355"/>
      <c r="D49" s="379"/>
      <c r="E49" s="355"/>
      <c r="I49" s="355"/>
      <c r="J49" s="379"/>
      <c r="K49" s="355"/>
      <c r="L49" s="944"/>
      <c r="M49" s="193"/>
      <c r="N49" s="546"/>
      <c r="S49" s="193"/>
      <c r="T49" s="193"/>
      <c r="U49" s="193"/>
      <c r="V49" s="355"/>
      <c r="W49" s="355"/>
      <c r="X49" s="355"/>
      <c r="Y49" s="193"/>
      <c r="Z49" s="193"/>
      <c r="AA49" s="193"/>
      <c r="AB49" s="355"/>
      <c r="AC49" s="355"/>
      <c r="AD49" s="355"/>
    </row>
    <row r="50" spans="1:30" x14ac:dyDescent="0.35">
      <c r="A50" s="1384"/>
      <c r="B50" s="124" t="s">
        <v>425</v>
      </c>
      <c r="C50" s="355"/>
      <c r="D50" s="379"/>
      <c r="E50" s="355"/>
      <c r="I50" s="355"/>
      <c r="J50" s="379"/>
      <c r="K50" s="355"/>
      <c r="L50" s="944"/>
      <c r="M50" s="193"/>
      <c r="N50" s="546"/>
      <c r="S50" s="193"/>
      <c r="T50" s="193"/>
      <c r="U50" s="193"/>
      <c r="V50" s="355"/>
      <c r="W50" s="355"/>
      <c r="X50" s="355"/>
      <c r="Y50" s="193"/>
      <c r="Z50" s="193"/>
      <c r="AA50" s="193"/>
      <c r="AB50" s="355"/>
      <c r="AC50" s="355"/>
      <c r="AD50" s="355"/>
    </row>
    <row r="51" spans="1:30" x14ac:dyDescent="0.35">
      <c r="A51" s="1384"/>
      <c r="B51" s="124" t="s">
        <v>99</v>
      </c>
      <c r="C51" s="355">
        <v>600</v>
      </c>
      <c r="D51" s="379">
        <f>ROUND(C51*D$9,0)</f>
        <v>300</v>
      </c>
      <c r="E51" s="355">
        <v>600</v>
      </c>
      <c r="I51" s="355">
        <v>600</v>
      </c>
      <c r="J51" s="379">
        <f>+I51/12*2</f>
        <v>100</v>
      </c>
      <c r="K51" s="379">
        <f>ROUND((I51/12*10)+J51,0)</f>
        <v>600</v>
      </c>
      <c r="L51" s="944">
        <v>600</v>
      </c>
      <c r="M51" s="193">
        <v>600</v>
      </c>
      <c r="N51" s="546">
        <v>600</v>
      </c>
      <c r="S51" s="193">
        <v>600</v>
      </c>
      <c r="T51" s="193">
        <v>600</v>
      </c>
      <c r="U51" s="193">
        <v>300</v>
      </c>
      <c r="V51" s="355">
        <v>600</v>
      </c>
      <c r="W51" s="355">
        <v>600</v>
      </c>
      <c r="X51" s="355">
        <v>300</v>
      </c>
      <c r="Y51" s="193">
        <v>600</v>
      </c>
      <c r="Z51" s="193">
        <v>600</v>
      </c>
      <c r="AA51" s="193">
        <v>300</v>
      </c>
      <c r="AB51" s="355">
        <v>600</v>
      </c>
      <c r="AC51" s="355">
        <v>600</v>
      </c>
      <c r="AD51" s="355">
        <v>300</v>
      </c>
    </row>
    <row r="52" spans="1:30" x14ac:dyDescent="0.35">
      <c r="A52" s="1384"/>
      <c r="B52" s="154" t="s">
        <v>170</v>
      </c>
      <c r="C52" s="355">
        <v>480</v>
      </c>
      <c r="D52" s="379">
        <f>ROUND(C52*D$9,0)</f>
        <v>240</v>
      </c>
      <c r="E52" s="355">
        <v>480</v>
      </c>
      <c r="F52" s="259"/>
      <c r="G52" s="259"/>
      <c r="H52" s="259"/>
      <c r="I52" s="355">
        <v>480</v>
      </c>
      <c r="J52" s="379">
        <f>+I52/12*2</f>
        <v>80</v>
      </c>
      <c r="K52" s="379">
        <f>ROUND((I52/12*10)+J52,0)</f>
        <v>480</v>
      </c>
      <c r="L52" s="944">
        <v>480</v>
      </c>
      <c r="M52" s="193">
        <v>480</v>
      </c>
      <c r="N52" s="546">
        <v>480</v>
      </c>
      <c r="S52" s="193">
        <v>480</v>
      </c>
      <c r="T52" s="193">
        <v>480</v>
      </c>
      <c r="U52" s="193">
        <f>+S52/2</f>
        <v>240</v>
      </c>
      <c r="V52" s="355">
        <v>480</v>
      </c>
      <c r="W52" s="355">
        <v>480</v>
      </c>
      <c r="X52" s="355">
        <f>+V52/2</f>
        <v>240</v>
      </c>
      <c r="Y52" s="193">
        <v>480</v>
      </c>
      <c r="Z52" s="193">
        <v>480</v>
      </c>
      <c r="AA52" s="193">
        <f>+Y52/2</f>
        <v>240</v>
      </c>
      <c r="AB52" s="355">
        <v>480</v>
      </c>
      <c r="AC52" s="355">
        <v>480</v>
      </c>
      <c r="AD52" s="355">
        <f>+AB52/2</f>
        <v>240</v>
      </c>
    </row>
    <row r="53" spans="1:30" hidden="1" x14ac:dyDescent="0.35">
      <c r="A53" s="1384"/>
      <c r="B53" s="154" t="s">
        <v>230</v>
      </c>
      <c r="C53" s="355">
        <v>300</v>
      </c>
      <c r="D53" s="355">
        <v>300</v>
      </c>
      <c r="E53" s="355"/>
      <c r="F53" s="259"/>
      <c r="G53" s="259"/>
      <c r="H53" s="259"/>
      <c r="I53" s="355"/>
      <c r="J53" s="355"/>
      <c r="K53" s="355"/>
      <c r="L53" s="944"/>
      <c r="M53" s="193"/>
      <c r="N53" s="546"/>
      <c r="S53" s="193"/>
      <c r="T53" s="193"/>
      <c r="U53" s="193"/>
      <c r="V53" s="355"/>
      <c r="W53" s="355"/>
      <c r="X53" s="355"/>
      <c r="Y53" s="193"/>
      <c r="Z53" s="193"/>
      <c r="AA53" s="193"/>
      <c r="AB53" s="355"/>
      <c r="AC53" s="355"/>
      <c r="AD53" s="355"/>
    </row>
    <row r="54" spans="1:30" x14ac:dyDescent="0.35">
      <c r="A54" s="1385"/>
      <c r="B54" s="135" t="s">
        <v>162</v>
      </c>
      <c r="C54" s="356">
        <f>+SUM(C47:C53)</f>
        <v>3330</v>
      </c>
      <c r="D54" s="356">
        <f>+SUM(D47:D53)</f>
        <v>1815</v>
      </c>
      <c r="E54" s="495">
        <f>+SUM(E47:E52)</f>
        <v>3580</v>
      </c>
      <c r="H54" s="117"/>
      <c r="I54" s="356">
        <f t="shared" ref="I54:N54" si="26">+SUM(I47:I52)</f>
        <v>3580</v>
      </c>
      <c r="J54" s="356">
        <f t="shared" si="26"/>
        <v>596.66666666666663</v>
      </c>
      <c r="K54" s="356">
        <f t="shared" si="26"/>
        <v>3580</v>
      </c>
      <c r="L54" s="939">
        <f t="shared" si="26"/>
        <v>3580</v>
      </c>
      <c r="M54" s="194">
        <f t="shared" si="26"/>
        <v>3580</v>
      </c>
      <c r="N54" s="548">
        <f t="shared" si="26"/>
        <v>3580</v>
      </c>
      <c r="S54" s="194">
        <f t="shared" ref="S54:AD54" si="27">+SUM(S47:S52)</f>
        <v>3580</v>
      </c>
      <c r="T54" s="194">
        <f t="shared" si="27"/>
        <v>3580</v>
      </c>
      <c r="U54" s="194">
        <f t="shared" si="27"/>
        <v>1790</v>
      </c>
      <c r="V54" s="356">
        <f t="shared" si="27"/>
        <v>3580</v>
      </c>
      <c r="W54" s="356">
        <f t="shared" si="27"/>
        <v>3580</v>
      </c>
      <c r="X54" s="356">
        <f t="shared" si="27"/>
        <v>1790</v>
      </c>
      <c r="Y54" s="194">
        <f t="shared" si="27"/>
        <v>3580</v>
      </c>
      <c r="Z54" s="194">
        <f t="shared" si="27"/>
        <v>3580</v>
      </c>
      <c r="AA54" s="194">
        <f t="shared" si="27"/>
        <v>1790</v>
      </c>
      <c r="AB54" s="356">
        <f t="shared" si="27"/>
        <v>3580</v>
      </c>
      <c r="AC54" s="356">
        <f t="shared" si="27"/>
        <v>3580</v>
      </c>
      <c r="AD54" s="356">
        <f t="shared" si="27"/>
        <v>1790</v>
      </c>
    </row>
    <row r="55" spans="1:30" ht="8" customHeight="1" x14ac:dyDescent="0.35">
      <c r="D55" s="174"/>
      <c r="L55" s="174"/>
      <c r="V55" s="174"/>
      <c r="W55" s="174"/>
      <c r="X55" s="174"/>
      <c r="AB55" s="174"/>
      <c r="AC55" s="174"/>
      <c r="AD55" s="174"/>
    </row>
    <row r="56" spans="1:30" x14ac:dyDescent="0.35">
      <c r="B56" s="138" t="s">
        <v>237</v>
      </c>
      <c r="C56" s="357">
        <f>+C20+C22+C38+C45+C54</f>
        <v>96198</v>
      </c>
      <c r="D56" s="357">
        <f>+D20+D22+D38+D45+D54</f>
        <v>48251</v>
      </c>
      <c r="E56" s="139">
        <f>+E20+E38+E45+E54+E25</f>
        <v>86398</v>
      </c>
      <c r="F56" s="117"/>
      <c r="G56" s="563"/>
      <c r="H56" s="382"/>
      <c r="I56" s="139">
        <f t="shared" ref="I56:N56" si="28">+I20+I38+I45+I54+I25</f>
        <v>88773</v>
      </c>
      <c r="J56" s="139">
        <f t="shared" si="28"/>
        <v>16931.5</v>
      </c>
      <c r="K56" s="139">
        <f t="shared" si="28"/>
        <v>90805</v>
      </c>
      <c r="L56" s="945">
        <f t="shared" si="28"/>
        <v>101589</v>
      </c>
      <c r="M56" s="139">
        <f t="shared" si="28"/>
        <v>106280</v>
      </c>
      <c r="N56" s="549">
        <f t="shared" si="28"/>
        <v>109588</v>
      </c>
      <c r="S56" s="139">
        <f t="shared" ref="S56:AD56" si="29">+S20+S38+S45+S54</f>
        <v>103115</v>
      </c>
      <c r="T56" s="139">
        <f t="shared" si="29"/>
        <v>99404</v>
      </c>
      <c r="U56" s="139">
        <f t="shared" si="29"/>
        <v>49703</v>
      </c>
      <c r="V56" s="357">
        <f t="shared" si="29"/>
        <v>103590</v>
      </c>
      <c r="W56" s="357">
        <f t="shared" si="29"/>
        <v>100271</v>
      </c>
      <c r="X56" s="357">
        <f t="shared" si="29"/>
        <v>50136.5</v>
      </c>
      <c r="Y56" s="139">
        <f t="shared" si="29"/>
        <v>104489</v>
      </c>
      <c r="Z56" s="139">
        <f t="shared" si="29"/>
        <v>101138</v>
      </c>
      <c r="AA56" s="139">
        <f t="shared" si="29"/>
        <v>50569.5</v>
      </c>
      <c r="AB56" s="357">
        <f t="shared" si="29"/>
        <v>105387</v>
      </c>
      <c r="AC56" s="357">
        <f t="shared" si="29"/>
        <v>102007</v>
      </c>
      <c r="AD56" s="357">
        <f t="shared" si="29"/>
        <v>51003</v>
      </c>
    </row>
    <row r="57" spans="1:30" ht="14.5" customHeight="1" x14ac:dyDescent="0.35">
      <c r="B57" s="197" t="s">
        <v>225</v>
      </c>
      <c r="C57" s="185"/>
      <c r="D57" s="185"/>
      <c r="E57" s="185"/>
      <c r="I57" s="185">
        <f>+I56-E56</f>
        <v>2375</v>
      </c>
      <c r="J57" s="185"/>
      <c r="K57" s="185">
        <f>+K56-I56</f>
        <v>2032</v>
      </c>
      <c r="L57" s="185"/>
      <c r="M57" s="185">
        <f>+M56-K56</f>
        <v>15475</v>
      </c>
      <c r="N57" s="185">
        <f>+N56-E56</f>
        <v>23190</v>
      </c>
      <c r="S57" s="185">
        <f>+S56-$I56</f>
        <v>14342</v>
      </c>
      <c r="T57" s="185">
        <f>+T56-$I56</f>
        <v>10631</v>
      </c>
      <c r="U57" s="185"/>
      <c r="V57" s="185">
        <f>+V56-$I56</f>
        <v>14817</v>
      </c>
      <c r="W57" s="185">
        <f>+W56-$I56</f>
        <v>11498</v>
      </c>
      <c r="X57" s="185"/>
      <c r="Y57" s="185">
        <f>+Y56-$I56</f>
        <v>15716</v>
      </c>
      <c r="Z57" s="185">
        <f>+Z56-$I56</f>
        <v>12365</v>
      </c>
      <c r="AA57" s="185"/>
      <c r="AB57" s="185">
        <f>+AB56-$I56</f>
        <v>16614</v>
      </c>
      <c r="AC57" s="185">
        <f>+AC56-$I56</f>
        <v>13234</v>
      </c>
      <c r="AD57" s="185"/>
    </row>
    <row r="58" spans="1:30" x14ac:dyDescent="0.35">
      <c r="I58" s="758">
        <f>(+I56-E56)/E56</f>
        <v>2.7489062246811267E-2</v>
      </c>
      <c r="J58" s="758"/>
      <c r="K58" s="758">
        <f>(+K56-I56)/I56</f>
        <v>2.2889842632331903E-2</v>
      </c>
      <c r="L58" s="918"/>
      <c r="M58" s="758">
        <f>(+M56-K56)/K56</f>
        <v>0.1704201310500523</v>
      </c>
      <c r="N58" s="758">
        <f>(+N56-E56)/E56</f>
        <v>0.26840899094886456</v>
      </c>
      <c r="S58" s="758">
        <f>(+S56-$I56)/$I56</f>
        <v>0.16155813141383077</v>
      </c>
      <c r="T58" s="758">
        <f>(+T56-$I56)/$I56</f>
        <v>0.11975488042535455</v>
      </c>
      <c r="U58" s="758"/>
      <c r="V58" s="758">
        <f>(+V56-$I56)/$I56</f>
        <v>0.16690885742286507</v>
      </c>
      <c r="W58" s="758">
        <f>(+W56-$I56)/$I56</f>
        <v>0.12952136347763396</v>
      </c>
      <c r="X58" s="758"/>
      <c r="Y58" s="758">
        <f>(+Y56-$I56)/$I56</f>
        <v>0.17703581043785835</v>
      </c>
      <c r="Z58" s="758">
        <f>(+Z56-$I56)/$I56</f>
        <v>0.13928784652991338</v>
      </c>
      <c r="AA58" s="758"/>
      <c r="AB58" s="758">
        <f>(+AB56-$I56)/$I56</f>
        <v>0.18715149876651685</v>
      </c>
      <c r="AC58" s="758">
        <f>(+AC56-$I56)/$I56</f>
        <v>0.14907685895486239</v>
      </c>
      <c r="AD58" s="758"/>
    </row>
    <row r="59" spans="1:30" ht="18.5" x14ac:dyDescent="0.35">
      <c r="A59" s="749" t="s">
        <v>426</v>
      </c>
      <c r="C59" s="110"/>
      <c r="L59" s="174"/>
    </row>
    <row r="60" spans="1:30" ht="32" customHeight="1" thickBot="1" x14ac:dyDescent="0.4">
      <c r="A60" s="750"/>
      <c r="B60" s="750"/>
      <c r="C60" s="110"/>
      <c r="I60" s="750"/>
      <c r="J60" s="259"/>
      <c r="K60" s="125"/>
      <c r="L60" s="155"/>
      <c r="M60" s="259"/>
      <c r="S60" s="259"/>
      <c r="T60" s="259"/>
      <c r="U60" s="259"/>
      <c r="V60" s="259"/>
      <c r="W60" s="259"/>
      <c r="X60" s="259"/>
      <c r="Y60" s="259"/>
      <c r="Z60" s="259"/>
      <c r="AA60" s="259"/>
      <c r="AB60" s="259"/>
      <c r="AC60" s="259"/>
      <c r="AD60" s="259"/>
    </row>
    <row r="61" spans="1:30" x14ac:dyDescent="0.35">
      <c r="A61" s="748" t="s">
        <v>431</v>
      </c>
      <c r="C61" s="110"/>
      <c r="I61" s="751" t="s">
        <v>427</v>
      </c>
      <c r="J61" s="751"/>
      <c r="K61" s="751"/>
      <c r="L61" s="919"/>
      <c r="M61" s="751"/>
      <c r="S61" s="797"/>
      <c r="T61" s="797"/>
      <c r="U61" s="797"/>
      <c r="V61" s="797"/>
      <c r="W61" s="797"/>
      <c r="X61" s="797"/>
      <c r="Y61" s="797"/>
      <c r="Z61" s="797"/>
      <c r="AA61" s="797"/>
      <c r="AB61" s="797"/>
      <c r="AC61" s="797"/>
      <c r="AD61" s="797"/>
    </row>
    <row r="62" spans="1:30" x14ac:dyDescent="0.35">
      <c r="C62" s="110"/>
      <c r="L62" s="174"/>
      <c r="S62" s="259"/>
      <c r="T62" s="259"/>
      <c r="U62" s="259"/>
      <c r="V62" s="259"/>
      <c r="W62" s="259"/>
      <c r="X62" s="259"/>
      <c r="Y62" s="259"/>
      <c r="Z62" s="259"/>
      <c r="AA62" s="259"/>
      <c r="AB62" s="259"/>
      <c r="AC62" s="259"/>
      <c r="AD62" s="259"/>
    </row>
    <row r="63" spans="1:30" ht="32" customHeight="1" thickBot="1" x14ac:dyDescent="0.4">
      <c r="A63" s="750"/>
      <c r="B63" s="750"/>
      <c r="C63" s="110"/>
      <c r="I63" s="750"/>
      <c r="J63" s="259"/>
      <c r="K63" s="125"/>
      <c r="L63" s="155"/>
      <c r="M63" s="259"/>
      <c r="S63" s="259"/>
      <c r="T63" s="259"/>
      <c r="U63" s="259"/>
      <c r="V63" s="259"/>
      <c r="W63" s="259"/>
      <c r="X63" s="259"/>
      <c r="Y63" s="259"/>
      <c r="Z63" s="259"/>
      <c r="AA63" s="259"/>
      <c r="AB63" s="259"/>
      <c r="AC63" s="259"/>
      <c r="AD63" s="259"/>
    </row>
    <row r="64" spans="1:30" x14ac:dyDescent="0.35">
      <c r="A64" s="748" t="s">
        <v>429</v>
      </c>
      <c r="C64" s="110"/>
      <c r="I64" s="751" t="s">
        <v>427</v>
      </c>
      <c r="J64" s="751"/>
      <c r="K64" s="751"/>
      <c r="L64" s="919"/>
      <c r="M64" s="751"/>
      <c r="S64" s="797"/>
      <c r="T64" s="797"/>
      <c r="U64" s="797"/>
      <c r="V64" s="797"/>
      <c r="W64" s="797"/>
      <c r="X64" s="797"/>
      <c r="Y64" s="797"/>
      <c r="Z64" s="797"/>
      <c r="AA64" s="797"/>
      <c r="AB64" s="797"/>
      <c r="AC64" s="797"/>
      <c r="AD64" s="797"/>
    </row>
    <row r="65" spans="1:30" x14ac:dyDescent="0.35">
      <c r="C65" s="110"/>
      <c r="L65" s="174"/>
      <c r="S65" s="259"/>
      <c r="T65" s="259"/>
      <c r="U65" s="259"/>
      <c r="V65" s="259"/>
      <c r="W65" s="259"/>
      <c r="X65" s="259"/>
      <c r="Y65" s="259"/>
      <c r="Z65" s="259"/>
      <c r="AA65" s="259"/>
      <c r="AB65" s="259"/>
      <c r="AC65" s="259"/>
      <c r="AD65" s="259"/>
    </row>
    <row r="66" spans="1:30" ht="32" customHeight="1" thickBot="1" x14ac:dyDescent="0.4">
      <c r="A66" s="750"/>
      <c r="B66" s="750"/>
      <c r="C66" s="110"/>
      <c r="I66" s="750"/>
      <c r="J66" s="259"/>
      <c r="K66" s="259"/>
      <c r="L66" s="155"/>
      <c r="M66" s="259"/>
      <c r="S66" s="259"/>
      <c r="T66" s="259"/>
      <c r="U66" s="259"/>
      <c r="V66" s="259"/>
      <c r="W66" s="259"/>
      <c r="X66" s="259"/>
      <c r="Y66" s="259"/>
      <c r="Z66" s="259"/>
      <c r="AA66" s="259"/>
      <c r="AB66" s="259"/>
      <c r="AC66" s="259"/>
      <c r="AD66" s="259"/>
    </row>
    <row r="67" spans="1:30" x14ac:dyDescent="0.35">
      <c r="A67" s="748" t="s">
        <v>430</v>
      </c>
      <c r="C67" s="110"/>
      <c r="I67" s="751" t="s">
        <v>427</v>
      </c>
      <c r="J67" s="751"/>
      <c r="K67" s="751"/>
      <c r="L67" s="919"/>
      <c r="M67" s="751"/>
      <c r="S67" s="797"/>
      <c r="T67" s="797"/>
      <c r="U67" s="797"/>
      <c r="V67" s="797"/>
      <c r="W67" s="797"/>
      <c r="X67" s="797"/>
      <c r="Y67" s="797"/>
      <c r="Z67" s="797"/>
      <c r="AA67" s="797"/>
      <c r="AB67" s="797"/>
      <c r="AC67" s="797"/>
      <c r="AD67" s="797"/>
    </row>
    <row r="68" spans="1:30" x14ac:dyDescent="0.35">
      <c r="L68" s="174"/>
      <c r="S68" s="259"/>
      <c r="T68" s="259"/>
      <c r="U68" s="259"/>
      <c r="V68" s="259"/>
      <c r="W68" s="259"/>
      <c r="X68" s="259"/>
      <c r="Y68" s="259"/>
      <c r="Z68" s="259"/>
      <c r="AA68" s="259"/>
      <c r="AB68" s="259"/>
      <c r="AC68" s="259"/>
      <c r="AD68" s="259"/>
    </row>
    <row r="69" spans="1:30" x14ac:dyDescent="0.35">
      <c r="L69" s="174"/>
      <c r="S69" s="259"/>
      <c r="T69" s="259"/>
      <c r="U69" s="259"/>
      <c r="V69" s="259"/>
      <c r="W69" s="259"/>
      <c r="X69" s="259"/>
      <c r="Y69" s="259"/>
      <c r="Z69" s="259"/>
      <c r="AA69" s="259"/>
      <c r="AB69" s="259"/>
      <c r="AC69" s="259"/>
      <c r="AD69" s="259"/>
    </row>
    <row r="70" spans="1:30" x14ac:dyDescent="0.35">
      <c r="L70" s="174"/>
      <c r="S70" s="259"/>
      <c r="T70" s="259"/>
      <c r="U70" s="259"/>
      <c r="V70" s="259"/>
      <c r="W70" s="259"/>
      <c r="X70" s="259"/>
      <c r="Y70" s="259"/>
      <c r="Z70" s="259"/>
      <c r="AA70" s="259"/>
      <c r="AB70" s="259"/>
      <c r="AC70" s="259"/>
      <c r="AD70" s="259"/>
    </row>
    <row r="71" spans="1:30" x14ac:dyDescent="0.35">
      <c r="S71" s="259"/>
      <c r="T71" s="259"/>
      <c r="U71" s="259"/>
      <c r="V71" s="259"/>
      <c r="W71" s="259"/>
      <c r="X71" s="259"/>
      <c r="Y71" s="259"/>
      <c r="Z71" s="259"/>
      <c r="AA71" s="259"/>
      <c r="AB71" s="259"/>
      <c r="AC71" s="259"/>
      <c r="AD71" s="259"/>
    </row>
    <row r="72" spans="1:30" x14ac:dyDescent="0.35">
      <c r="S72" s="259"/>
      <c r="T72" s="259"/>
      <c r="U72" s="259"/>
      <c r="V72" s="259"/>
      <c r="W72" s="259"/>
      <c r="X72" s="259"/>
      <c r="Y72" s="259"/>
      <c r="Z72" s="259"/>
      <c r="AA72" s="259"/>
      <c r="AB72" s="259"/>
      <c r="AC72" s="259"/>
      <c r="AD72" s="259"/>
    </row>
    <row r="73" spans="1:30" x14ac:dyDescent="0.35">
      <c r="S73" s="259"/>
      <c r="T73" s="259"/>
      <c r="U73" s="259"/>
      <c r="V73" s="259"/>
      <c r="W73" s="259"/>
      <c r="X73" s="259"/>
      <c r="Y73" s="259"/>
      <c r="Z73" s="259"/>
      <c r="AA73" s="259"/>
      <c r="AB73" s="259"/>
      <c r="AC73" s="259"/>
      <c r="AD73" s="259"/>
    </row>
    <row r="74" spans="1:30" x14ac:dyDescent="0.35">
      <c r="S74" s="259"/>
      <c r="T74" s="259"/>
      <c r="U74" s="259"/>
      <c r="V74" s="259"/>
      <c r="W74" s="259"/>
      <c r="X74" s="259"/>
      <c r="Y74" s="259"/>
      <c r="Z74" s="259"/>
      <c r="AA74" s="259"/>
      <c r="AB74" s="259"/>
      <c r="AC74" s="259"/>
      <c r="AD74" s="259"/>
    </row>
    <row r="75" spans="1:30" x14ac:dyDescent="0.35">
      <c r="S75" s="259"/>
      <c r="T75" s="259"/>
      <c r="U75" s="259"/>
      <c r="V75" s="259"/>
      <c r="W75" s="259"/>
      <c r="X75" s="259"/>
      <c r="Y75" s="259"/>
      <c r="Z75" s="259"/>
      <c r="AA75" s="259"/>
      <c r="AB75" s="259"/>
      <c r="AC75" s="259"/>
      <c r="AD75" s="259"/>
    </row>
    <row r="76" spans="1:30" x14ac:dyDescent="0.35">
      <c r="S76" s="259"/>
      <c r="T76" s="259"/>
      <c r="U76" s="259"/>
      <c r="V76" s="259"/>
      <c r="W76" s="259"/>
      <c r="X76" s="259"/>
      <c r="Y76" s="259"/>
      <c r="Z76" s="259"/>
      <c r="AA76" s="259"/>
      <c r="AB76" s="259"/>
      <c r="AC76" s="259"/>
      <c r="AD76" s="259"/>
    </row>
    <row r="77" spans="1:30" x14ac:dyDescent="0.35">
      <c r="S77" s="259"/>
      <c r="T77" s="259"/>
      <c r="U77" s="259"/>
      <c r="V77" s="259"/>
      <c r="W77" s="259"/>
      <c r="X77" s="259"/>
      <c r="Y77" s="259"/>
      <c r="Z77" s="259"/>
      <c r="AA77" s="259"/>
      <c r="AB77" s="259"/>
      <c r="AC77" s="259"/>
      <c r="AD77" s="259"/>
    </row>
    <row r="78" spans="1:30" x14ac:dyDescent="0.35">
      <c r="S78" s="259"/>
      <c r="T78" s="259"/>
      <c r="U78" s="259"/>
      <c r="V78" s="259"/>
      <c r="W78" s="259"/>
      <c r="X78" s="259"/>
      <c r="Y78" s="259"/>
      <c r="Z78" s="259"/>
      <c r="AA78" s="259"/>
      <c r="AB78" s="259"/>
      <c r="AC78" s="259"/>
      <c r="AD78" s="259"/>
    </row>
    <row r="79" spans="1:30" x14ac:dyDescent="0.35">
      <c r="S79" s="259"/>
      <c r="T79" s="259"/>
      <c r="U79" s="259"/>
      <c r="V79" s="259"/>
      <c r="W79" s="259"/>
      <c r="X79" s="259"/>
      <c r="Y79" s="259"/>
      <c r="Z79" s="259"/>
      <c r="AA79" s="259"/>
      <c r="AB79" s="259"/>
      <c r="AC79" s="259"/>
      <c r="AD79" s="259"/>
    </row>
    <row r="80" spans="1:30" x14ac:dyDescent="0.35">
      <c r="S80" s="259"/>
      <c r="T80" s="259"/>
      <c r="U80" s="259"/>
      <c r="V80" s="259"/>
      <c r="W80" s="259"/>
      <c r="X80" s="259"/>
      <c r="Y80" s="259"/>
      <c r="Z80" s="259"/>
      <c r="AA80" s="259"/>
      <c r="AB80" s="259"/>
      <c r="AC80" s="259"/>
      <c r="AD80" s="259"/>
    </row>
    <row r="81" spans="19:30" x14ac:dyDescent="0.35">
      <c r="S81" s="259"/>
      <c r="T81" s="259"/>
      <c r="U81" s="259"/>
      <c r="V81" s="259"/>
      <c r="W81" s="259"/>
      <c r="X81" s="259"/>
      <c r="Y81" s="259"/>
      <c r="Z81" s="259"/>
      <c r="AA81" s="259"/>
      <c r="AB81" s="259"/>
      <c r="AC81" s="259"/>
      <c r="AD81" s="259"/>
    </row>
    <row r="82" spans="19:30" x14ac:dyDescent="0.35">
      <c r="S82" s="259"/>
      <c r="T82" s="259"/>
      <c r="U82" s="259"/>
      <c r="V82" s="259"/>
      <c r="W82" s="259"/>
      <c r="X82" s="259"/>
      <c r="Y82" s="259"/>
      <c r="Z82" s="259"/>
      <c r="AA82" s="259"/>
      <c r="AB82" s="259"/>
      <c r="AC82" s="259"/>
      <c r="AD82" s="259"/>
    </row>
    <row r="83" spans="19:30" x14ac:dyDescent="0.35">
      <c r="S83" s="259"/>
      <c r="T83" s="259"/>
      <c r="U83" s="259"/>
      <c r="V83" s="259"/>
      <c r="W83" s="259"/>
      <c r="X83" s="259"/>
      <c r="Y83" s="259"/>
      <c r="Z83" s="259"/>
      <c r="AA83" s="259"/>
      <c r="AB83" s="259"/>
      <c r="AC83" s="259"/>
      <c r="AD83" s="259"/>
    </row>
    <row r="84" spans="19:30" x14ac:dyDescent="0.35">
      <c r="S84" s="259"/>
      <c r="T84" s="259"/>
      <c r="U84" s="259"/>
      <c r="V84" s="259"/>
      <c r="W84" s="259"/>
      <c r="X84" s="259"/>
      <c r="Y84" s="259"/>
      <c r="Z84" s="259"/>
      <c r="AA84" s="259"/>
      <c r="AB84" s="259"/>
      <c r="AC84" s="259"/>
      <c r="AD84" s="259"/>
    </row>
    <row r="85" spans="19:30" x14ac:dyDescent="0.35">
      <c r="S85" s="259"/>
      <c r="T85" s="259"/>
      <c r="U85" s="259"/>
      <c r="V85" s="259"/>
      <c r="W85" s="259"/>
      <c r="X85" s="259"/>
      <c r="Y85" s="259"/>
      <c r="Z85" s="259"/>
      <c r="AA85" s="259"/>
      <c r="AB85" s="259"/>
      <c r="AC85" s="259"/>
      <c r="AD85" s="259"/>
    </row>
  </sheetData>
  <mergeCells count="23">
    <mergeCell ref="S2:U2"/>
    <mergeCell ref="V2:X2"/>
    <mergeCell ref="Y2:AA2"/>
    <mergeCell ref="AB2:AD2"/>
    <mergeCell ref="F42:H42"/>
    <mergeCell ref="L3:L4"/>
    <mergeCell ref="A47:A54"/>
    <mergeCell ref="F18:H18"/>
    <mergeCell ref="A31:A38"/>
    <mergeCell ref="A40:A45"/>
    <mergeCell ref="A24:A29"/>
    <mergeCell ref="A1:Q1"/>
    <mergeCell ref="O3:Q3"/>
    <mergeCell ref="F5:H12"/>
    <mergeCell ref="A5:A20"/>
    <mergeCell ref="B13:B15"/>
    <mergeCell ref="O16:Q20"/>
    <mergeCell ref="O4:Q7"/>
    <mergeCell ref="I3:I4"/>
    <mergeCell ref="J3:J4"/>
    <mergeCell ref="K3:K4"/>
    <mergeCell ref="M3:M4"/>
    <mergeCell ref="N3:N4"/>
  </mergeCells>
  <pageMargins left="0" right="0" top="0.25" bottom="0" header="0.3" footer="0.3"/>
  <pageSetup scale="34" orientation="portrait" horizontalDpi="4294967293" verticalDpi="0" r:id="rId1"/>
  <headerFooter>
    <oddFooter>&amp;R&amp;D</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10" customWidth="1"/>
    <col min="2" max="2" width="38.453125" style="110" customWidth="1"/>
    <col min="3" max="5" width="13.90625" style="110" customWidth="1"/>
    <col min="6" max="6" width="11.08984375" style="110" bestFit="1" customWidth="1"/>
    <col min="7" max="16384" width="8.7265625" style="110"/>
  </cols>
  <sheetData>
    <row r="1" spans="1:5" ht="21" x14ac:dyDescent="0.35">
      <c r="A1" s="1306" t="s">
        <v>559</v>
      </c>
      <c r="B1" s="1306"/>
      <c r="C1" s="1306"/>
      <c r="D1" s="1306"/>
      <c r="E1" s="1306"/>
    </row>
    <row r="2" spans="1:5" s="722" customFormat="1" ht="10" customHeight="1" x14ac:dyDescent="0.35">
      <c r="C2" s="724"/>
      <c r="D2" s="1001">
        <v>0.5</v>
      </c>
      <c r="E2" s="1001">
        <v>0.75</v>
      </c>
    </row>
    <row r="3" spans="1:5" ht="37.5" customHeight="1" x14ac:dyDescent="0.35">
      <c r="C3" s="1400" t="s">
        <v>560</v>
      </c>
      <c r="D3" s="1398" t="s">
        <v>561</v>
      </c>
      <c r="E3" s="1400" t="s">
        <v>562</v>
      </c>
    </row>
    <row r="4" spans="1:5" ht="15" customHeight="1" x14ac:dyDescent="0.35">
      <c r="C4" s="1401"/>
      <c r="D4" s="1399"/>
      <c r="E4" s="1401"/>
    </row>
    <row r="5" spans="1:5" ht="14.5" customHeight="1" x14ac:dyDescent="0.35">
      <c r="A5" s="1383" t="s">
        <v>268</v>
      </c>
      <c r="B5" s="380" t="s">
        <v>36</v>
      </c>
      <c r="C5" s="498">
        <v>60000</v>
      </c>
      <c r="D5" s="374">
        <f>+ROUND($C5*D$2,0)</f>
        <v>30000</v>
      </c>
      <c r="E5" s="374">
        <f>+ROUND($C5*E$2,0)</f>
        <v>45000</v>
      </c>
    </row>
    <row r="6" spans="1:5" x14ac:dyDescent="0.35">
      <c r="A6" s="1384"/>
      <c r="B6" s="142" t="s">
        <v>125</v>
      </c>
      <c r="C6" s="377">
        <v>24000</v>
      </c>
      <c r="D6" s="795">
        <f>+ROUND($C6*D$2,0)</f>
        <v>12000</v>
      </c>
      <c r="E6" s="795">
        <f>+ROUND($C6*E$2,0)</f>
        <v>18000</v>
      </c>
    </row>
    <row r="7" spans="1:5" x14ac:dyDescent="0.35">
      <c r="A7" s="1384"/>
      <c r="B7" s="161" t="s">
        <v>142</v>
      </c>
      <c r="C7" s="353">
        <f>+C5+C6</f>
        <v>84000</v>
      </c>
      <c r="D7" s="353">
        <f>+D5+D6</f>
        <v>42000</v>
      </c>
      <c r="E7" s="353">
        <f>+E5+E6</f>
        <v>63000</v>
      </c>
    </row>
    <row r="8" spans="1:5" ht="6.5" customHeight="1" x14ac:dyDescent="0.35">
      <c r="A8" s="1384"/>
      <c r="B8" s="154"/>
      <c r="C8" s="147"/>
      <c r="D8" s="147"/>
      <c r="E8" s="147"/>
    </row>
    <row r="9" spans="1:5" x14ac:dyDescent="0.35">
      <c r="A9" s="1384"/>
      <c r="B9" s="154" t="s">
        <v>413</v>
      </c>
      <c r="C9" s="386">
        <v>7.6499999999999999E-2</v>
      </c>
      <c r="D9" s="386"/>
      <c r="E9" s="386">
        <v>7.6499999999999999E-2</v>
      </c>
    </row>
    <row r="10" spans="1:5" x14ac:dyDescent="0.35">
      <c r="A10" s="1384"/>
      <c r="B10" s="154" t="s">
        <v>233</v>
      </c>
      <c r="C10" s="166">
        <f>ROUND(+C7*C9,0)</f>
        <v>6426</v>
      </c>
      <c r="D10" s="358">
        <v>3000</v>
      </c>
      <c r="E10" s="166">
        <f>ROUND(+E7*E9,0)</f>
        <v>4820</v>
      </c>
    </row>
    <row r="11" spans="1:5" x14ac:dyDescent="0.35">
      <c r="A11" s="1385"/>
      <c r="B11" s="169" t="s">
        <v>144</v>
      </c>
      <c r="C11" s="173">
        <f>+C7+C10</f>
        <v>90426</v>
      </c>
      <c r="D11" s="173">
        <f>+D7+D10</f>
        <v>45000</v>
      </c>
      <c r="E11" s="173">
        <f>+E7+E10</f>
        <v>67820</v>
      </c>
    </row>
    <row r="12" spans="1:5" ht="8.5" customHeight="1" x14ac:dyDescent="0.35">
      <c r="B12" s="174"/>
      <c r="C12" s="174"/>
      <c r="D12" s="174"/>
      <c r="E12" s="174"/>
    </row>
    <row r="13" spans="1:5" ht="14.5" hidden="1" customHeight="1" x14ac:dyDescent="0.35">
      <c r="B13" s="140" t="s">
        <v>145</v>
      </c>
      <c r="C13" s="497">
        <v>0</v>
      </c>
      <c r="D13" s="497">
        <v>0</v>
      </c>
      <c r="E13" s="497">
        <v>0</v>
      </c>
    </row>
    <row r="14" spans="1:5" ht="14.5" hidden="1" customHeight="1" x14ac:dyDescent="0.35">
      <c r="A14" s="916"/>
      <c r="B14" s="154" t="s">
        <v>166</v>
      </c>
      <c r="C14" s="358">
        <v>0</v>
      </c>
      <c r="D14" s="358">
        <v>0</v>
      </c>
      <c r="E14" s="358">
        <v>0</v>
      </c>
    </row>
    <row r="15" spans="1:5" ht="14.5" customHeight="1" x14ac:dyDescent="0.35">
      <c r="A15" s="1383" t="s">
        <v>128</v>
      </c>
      <c r="B15" s="1002" t="s">
        <v>567</v>
      </c>
      <c r="C15" s="497">
        <f>343*12</f>
        <v>4116</v>
      </c>
      <c r="D15" s="496">
        <f>+C15</f>
        <v>4116</v>
      </c>
      <c r="E15" s="496">
        <f>+C15</f>
        <v>4116</v>
      </c>
    </row>
    <row r="16" spans="1:5" x14ac:dyDescent="0.35">
      <c r="A16" s="1384"/>
      <c r="B16" s="395" t="s">
        <v>563</v>
      </c>
      <c r="C16" s="379">
        <f>+C$11*0.12</f>
        <v>10851.119999999999</v>
      </c>
      <c r="D16" s="379">
        <f t="shared" ref="D16:E16" si="0">+D$11*0.12</f>
        <v>5400</v>
      </c>
      <c r="E16" s="379">
        <f t="shared" si="0"/>
        <v>8138.4</v>
      </c>
    </row>
    <row r="17" spans="1:5" ht="14.5" customHeight="1" x14ac:dyDescent="0.35">
      <c r="A17" s="1384"/>
      <c r="B17" s="154" t="s">
        <v>569</v>
      </c>
      <c r="C17" s="379">
        <f>+C$11*0.009</f>
        <v>813.83399999999995</v>
      </c>
      <c r="D17" s="379">
        <f t="shared" ref="D17:E17" si="1">+D$11*0.009</f>
        <v>404.99999999999994</v>
      </c>
      <c r="E17" s="379">
        <f t="shared" si="1"/>
        <v>610.38</v>
      </c>
    </row>
    <row r="18" spans="1:5" x14ac:dyDescent="0.35">
      <c r="A18" s="1384"/>
      <c r="B18" s="154" t="s">
        <v>568</v>
      </c>
      <c r="C18" s="379">
        <f>+C$11*0.008</f>
        <v>723.40800000000002</v>
      </c>
      <c r="D18" s="379">
        <f t="shared" ref="D18:E18" si="2">+D$11*0.008</f>
        <v>360</v>
      </c>
      <c r="E18" s="379">
        <f t="shared" si="2"/>
        <v>542.56000000000006</v>
      </c>
    </row>
    <row r="19" spans="1:5" ht="14.5" customHeight="1" x14ac:dyDescent="0.35">
      <c r="A19" s="1384"/>
      <c r="B19" s="124" t="s">
        <v>565</v>
      </c>
      <c r="C19" s="355">
        <v>1200</v>
      </c>
      <c r="D19" s="379">
        <f>+$C19*D2</f>
        <v>600</v>
      </c>
      <c r="E19" s="379">
        <f>+$C19*E2</f>
        <v>900</v>
      </c>
    </row>
    <row r="20" spans="1:5" x14ac:dyDescent="0.35">
      <c r="A20" s="1385"/>
      <c r="B20" s="130" t="s">
        <v>564</v>
      </c>
      <c r="C20" s="173">
        <f>SUM(C15:C19)</f>
        <v>17704.362000000001</v>
      </c>
      <c r="D20" s="173">
        <f t="shared" ref="D20:E20" si="3">SUM(D15:D19)</f>
        <v>10881</v>
      </c>
      <c r="E20" s="173">
        <f t="shared" si="3"/>
        <v>14307.339999999998</v>
      </c>
    </row>
    <row r="21" spans="1:5" ht="7.5" customHeight="1" x14ac:dyDescent="0.35">
      <c r="C21" s="174"/>
      <c r="D21" s="174"/>
      <c r="E21" s="174"/>
    </row>
    <row r="22" spans="1:5" x14ac:dyDescent="0.35">
      <c r="B22" s="138" t="s">
        <v>566</v>
      </c>
      <c r="C22" s="357">
        <f>+C11+C20</f>
        <v>108130.36199999999</v>
      </c>
      <c r="D22" s="357">
        <f t="shared" ref="D22:E22" si="4">+D11+D20</f>
        <v>55881</v>
      </c>
      <c r="E22" s="357">
        <f t="shared" si="4"/>
        <v>82127.34</v>
      </c>
    </row>
    <row r="23" spans="1:5" x14ac:dyDescent="0.35">
      <c r="C23" s="174"/>
      <c r="D23" s="174"/>
      <c r="E23" s="174"/>
    </row>
    <row r="24" spans="1:5" x14ac:dyDescent="0.35">
      <c r="B24" s="748" t="s">
        <v>570</v>
      </c>
      <c r="C24" s="748"/>
      <c r="D24" s="1003">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798" customWidth="1"/>
    <col min="2" max="2" width="12.6328125" style="798" customWidth="1"/>
    <col min="3" max="3" width="1" style="799" customWidth="1"/>
    <col min="4" max="7" width="12.6328125" style="798" customWidth="1"/>
    <col min="8" max="8" width="1.6328125" style="798" customWidth="1"/>
    <col min="9" max="9" width="8.7265625" style="798"/>
    <col min="10" max="10" width="8.7265625" style="798" customWidth="1"/>
    <col min="11" max="16384" width="8.7265625" style="798"/>
  </cols>
  <sheetData>
    <row r="1" spans="1:10" ht="23.5" x14ac:dyDescent="0.55000000000000004">
      <c r="A1" s="1303" t="s">
        <v>437</v>
      </c>
      <c r="B1" s="1303"/>
      <c r="C1" s="1303"/>
      <c r="D1" s="1303"/>
      <c r="E1" s="1303"/>
      <c r="F1" s="1303"/>
      <c r="G1" s="1303"/>
      <c r="H1" s="1303"/>
      <c r="I1" s="1303"/>
      <c r="J1" s="1303"/>
    </row>
    <row r="2" spans="1:10" ht="19" thickBot="1" x14ac:dyDescent="0.5"/>
    <row r="3" spans="1:10" ht="19" thickBot="1" x14ac:dyDescent="0.5">
      <c r="B3" s="1422" t="s">
        <v>442</v>
      </c>
      <c r="C3" s="1423"/>
      <c r="D3" s="1423"/>
      <c r="E3" s="1423"/>
      <c r="F3" s="1423"/>
      <c r="G3" s="1424"/>
    </row>
    <row r="4" spans="1:10" ht="21" x14ac:dyDescent="0.45">
      <c r="B4" s="1420" t="s">
        <v>444</v>
      </c>
      <c r="C4" s="814"/>
      <c r="D4" s="1425" t="s">
        <v>443</v>
      </c>
      <c r="E4" s="1426"/>
      <c r="F4" s="1426"/>
      <c r="G4" s="1427"/>
      <c r="I4" s="1419" t="s">
        <v>446</v>
      </c>
      <c r="J4" s="1419"/>
    </row>
    <row r="5" spans="1:10" ht="19" customHeight="1" thickBot="1" x14ac:dyDescent="0.5">
      <c r="A5" s="821"/>
      <c r="B5" s="1421"/>
      <c r="C5" s="814"/>
      <c r="D5" s="807">
        <v>7.0000000000000007E-2</v>
      </c>
      <c r="E5" s="803">
        <v>0.08</v>
      </c>
      <c r="F5" s="803">
        <v>0.09</v>
      </c>
      <c r="G5" s="808">
        <v>0.1</v>
      </c>
      <c r="I5" s="1419"/>
      <c r="J5" s="1419"/>
    </row>
    <row r="6" spans="1:10" x14ac:dyDescent="0.45">
      <c r="A6" s="800" t="s">
        <v>438</v>
      </c>
      <c r="B6" s="805">
        <f>+ROUND('Pastor Kelly'!I56/2,0)</f>
        <v>44387</v>
      </c>
      <c r="C6" s="815"/>
      <c r="D6" s="809">
        <f>+'Pastor Kelly'!U56</f>
        <v>49703</v>
      </c>
      <c r="E6" s="802">
        <f>+'Pastor Kelly'!X56</f>
        <v>50136.5</v>
      </c>
      <c r="F6" s="802">
        <f>+'Pastor Kelly'!AA56</f>
        <v>50569.5</v>
      </c>
      <c r="G6" s="810">
        <f>+'Pastor Kelly'!AD56</f>
        <v>51003</v>
      </c>
      <c r="I6" s="1419"/>
      <c r="J6" s="1419"/>
    </row>
    <row r="7" spans="1:10" ht="19" thickBot="1" x14ac:dyDescent="0.5">
      <c r="A7" s="820" t="s">
        <v>439</v>
      </c>
      <c r="B7" s="806"/>
      <c r="C7" s="816"/>
      <c r="D7" s="811">
        <f>+D6-$B6</f>
        <v>5316</v>
      </c>
      <c r="E7" s="812">
        <f>+E6-$B6</f>
        <v>5749.5</v>
      </c>
      <c r="F7" s="812">
        <f>+F6-$B6</f>
        <v>6182.5</v>
      </c>
      <c r="G7" s="813">
        <f>+G6-$B6</f>
        <v>6616</v>
      </c>
      <c r="I7" s="1419"/>
      <c r="J7" s="1419"/>
    </row>
    <row r="8" spans="1:10" ht="19" thickBot="1" x14ac:dyDescent="0.5">
      <c r="I8" s="817"/>
      <c r="J8" s="817"/>
    </row>
    <row r="9" spans="1:10" ht="19" thickBot="1" x14ac:dyDescent="0.5">
      <c r="B9" s="1422" t="s">
        <v>79</v>
      </c>
      <c r="C9" s="1423"/>
      <c r="D9" s="1423"/>
      <c r="E9" s="1423"/>
      <c r="F9" s="1423"/>
      <c r="G9" s="1424"/>
    </row>
    <row r="10" spans="1:10" ht="21" x14ac:dyDescent="0.45">
      <c r="B10" s="1420" t="s">
        <v>444</v>
      </c>
      <c r="C10" s="814"/>
      <c r="D10" s="1425" t="s">
        <v>443</v>
      </c>
      <c r="E10" s="1426"/>
      <c r="F10" s="1426"/>
      <c r="G10" s="1427"/>
      <c r="I10" s="1419" t="s">
        <v>445</v>
      </c>
      <c r="J10" s="1419"/>
    </row>
    <row r="11" spans="1:10" ht="19" customHeight="1" thickBot="1" x14ac:dyDescent="0.5">
      <c r="A11" s="821"/>
      <c r="B11" s="1421"/>
      <c r="C11" s="814"/>
      <c r="D11" s="807">
        <v>7.0000000000000007E-2</v>
      </c>
      <c r="E11" s="803">
        <v>0.08</v>
      </c>
      <c r="F11" s="803">
        <v>0.09</v>
      </c>
      <c r="G11" s="808">
        <v>0.1</v>
      </c>
      <c r="I11" s="1419"/>
      <c r="J11" s="1419"/>
    </row>
    <row r="12" spans="1:10" x14ac:dyDescent="0.45">
      <c r="A12" s="800" t="s">
        <v>438</v>
      </c>
      <c r="B12" s="805">
        <f>+'Pastor Kelly'!I56</f>
        <v>88773</v>
      </c>
      <c r="C12" s="815"/>
      <c r="D12" s="809">
        <f>+'Pastor Kelly'!T56</f>
        <v>99404</v>
      </c>
      <c r="E12" s="802">
        <f>+'Pastor Kelly'!W56</f>
        <v>100271</v>
      </c>
      <c r="F12" s="802">
        <f>+'Pastor Kelly'!Z56</f>
        <v>101138</v>
      </c>
      <c r="G12" s="810">
        <f>+'Pastor Kelly'!AC56</f>
        <v>102007</v>
      </c>
      <c r="I12" s="1419"/>
      <c r="J12" s="1419"/>
    </row>
    <row r="13" spans="1:10" ht="19" thickBot="1" x14ac:dyDescent="0.5">
      <c r="A13" s="820" t="s">
        <v>439</v>
      </c>
      <c r="B13" s="806"/>
      <c r="C13" s="816"/>
      <c r="D13" s="811">
        <f>+D12-$B12</f>
        <v>10631</v>
      </c>
      <c r="E13" s="812">
        <f>+E12-$B12</f>
        <v>11498</v>
      </c>
      <c r="F13" s="812">
        <f>+F12-$B12</f>
        <v>12365</v>
      </c>
      <c r="G13" s="813">
        <f>+G12-$B12</f>
        <v>13234</v>
      </c>
      <c r="I13" s="1419"/>
      <c r="J13" s="1419"/>
    </row>
    <row r="14" spans="1:10" x14ac:dyDescent="0.45">
      <c r="I14" s="817"/>
      <c r="J14" s="817"/>
    </row>
    <row r="15" spans="1:10" ht="39.5" customHeight="1" x14ac:dyDescent="0.45">
      <c r="A15" s="1417" t="s">
        <v>440</v>
      </c>
      <c r="B15" s="1417"/>
      <c r="C15" s="1417"/>
      <c r="D15" s="1417"/>
      <c r="E15" s="1417"/>
      <c r="F15" s="1417"/>
      <c r="G15" s="1417"/>
      <c r="H15" s="1417"/>
      <c r="I15" s="1417"/>
      <c r="J15" s="1417"/>
    </row>
    <row r="16" spans="1:10" ht="10.5" customHeight="1" x14ac:dyDescent="0.45">
      <c r="A16" s="801"/>
      <c r="B16" s="801"/>
      <c r="C16" s="804"/>
      <c r="D16" s="801"/>
      <c r="E16" s="801"/>
      <c r="F16" s="801"/>
      <c r="G16" s="801"/>
    </row>
    <row r="17" spans="1:10" ht="39" customHeight="1" x14ac:dyDescent="0.45">
      <c r="A17" s="1418" t="s">
        <v>441</v>
      </c>
      <c r="B17" s="1418"/>
      <c r="C17" s="1418"/>
      <c r="D17" s="1418"/>
      <c r="E17" s="1418"/>
      <c r="F17" s="1418"/>
      <c r="G17" s="1418"/>
      <c r="H17" s="1418"/>
      <c r="I17" s="1418"/>
      <c r="J17" s="1418"/>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433" t="s">
        <v>479</v>
      </c>
      <c r="I2" s="1434"/>
      <c r="J2" s="1435"/>
    </row>
    <row r="3" spans="1:13" ht="30" x14ac:dyDescent="0.45">
      <c r="A3" s="838" t="s">
        <v>471</v>
      </c>
      <c r="B3" s="855" t="s">
        <v>375</v>
      </c>
      <c r="C3" s="856" t="s">
        <v>291</v>
      </c>
      <c r="D3" s="857"/>
      <c r="E3" s="1431" t="s">
        <v>477</v>
      </c>
      <c r="F3" s="1432"/>
      <c r="H3" s="841" t="s">
        <v>481</v>
      </c>
      <c r="I3" s="840" t="s">
        <v>482</v>
      </c>
      <c r="J3" s="839" t="s">
        <v>483</v>
      </c>
    </row>
    <row r="4" spans="1:13" x14ac:dyDescent="0.35">
      <c r="A4" s="858" t="s">
        <v>472</v>
      </c>
      <c r="B4" s="843">
        <v>13.33</v>
      </c>
      <c r="C4" s="843">
        <v>11.22</v>
      </c>
      <c r="D4" s="835"/>
      <c r="E4" s="843">
        <v>15</v>
      </c>
      <c r="F4" s="859">
        <v>16</v>
      </c>
      <c r="H4" s="842">
        <v>11.86</v>
      </c>
      <c r="I4" s="843">
        <v>11</v>
      </c>
      <c r="J4" s="836"/>
    </row>
    <row r="5" spans="1:13" x14ac:dyDescent="0.35">
      <c r="A5" s="860" t="s">
        <v>473</v>
      </c>
      <c r="B5" s="845">
        <v>20</v>
      </c>
      <c r="C5" s="845">
        <v>7.5</v>
      </c>
      <c r="D5" s="623"/>
      <c r="E5" s="845">
        <v>20</v>
      </c>
      <c r="F5" s="861">
        <v>20</v>
      </c>
      <c r="H5" s="844">
        <v>20</v>
      </c>
      <c r="I5" s="845">
        <v>15</v>
      </c>
      <c r="J5" s="846"/>
    </row>
    <row r="6" spans="1:13" x14ac:dyDescent="0.35">
      <c r="A6" s="862" t="s">
        <v>126</v>
      </c>
      <c r="B6" s="848">
        <f>+B4*B5*52</f>
        <v>13863.2</v>
      </c>
      <c r="C6" s="848">
        <f>+C4*C5*52</f>
        <v>4375.8</v>
      </c>
      <c r="D6" s="623"/>
      <c r="E6" s="848">
        <f>+E4*E5*52</f>
        <v>15600</v>
      </c>
      <c r="F6" s="863">
        <f>+F4*F5*52</f>
        <v>16640</v>
      </c>
      <c r="H6" s="847">
        <f>+H4*H5*52</f>
        <v>12334.4</v>
      </c>
      <c r="I6" s="848">
        <f>+I4*I5*52</f>
        <v>8580</v>
      </c>
      <c r="J6" s="846"/>
      <c r="K6" s="837"/>
    </row>
    <row r="7" spans="1:13" x14ac:dyDescent="0.35">
      <c r="A7" s="849"/>
      <c r="B7" s="623"/>
      <c r="C7" s="623"/>
      <c r="D7" s="623"/>
      <c r="E7" s="623"/>
      <c r="F7" s="846"/>
      <c r="H7" s="849"/>
      <c r="I7" s="623"/>
      <c r="J7" s="846"/>
    </row>
    <row r="8" spans="1:13" x14ac:dyDescent="0.35">
      <c r="A8" s="849" t="s">
        <v>474</v>
      </c>
      <c r="B8" s="623"/>
      <c r="C8" s="623"/>
      <c r="D8" s="864"/>
      <c r="E8" s="851"/>
      <c r="F8" s="865"/>
      <c r="H8" s="849"/>
      <c r="I8" s="623"/>
      <c r="J8" s="846"/>
      <c r="L8" s="1436" t="s">
        <v>488</v>
      </c>
      <c r="M8" s="1432"/>
    </row>
    <row r="9" spans="1:13" x14ac:dyDescent="0.35">
      <c r="A9" s="849" t="s">
        <v>475</v>
      </c>
      <c r="B9" s="851">
        <f>+B6*0.0765</f>
        <v>1060.5348000000001</v>
      </c>
      <c r="C9" s="851">
        <f>+C6*0.0765</f>
        <v>334.74869999999999</v>
      </c>
      <c r="D9" s="864"/>
      <c r="E9" s="851">
        <f>+E6*0.0765</f>
        <v>1193.4000000000001</v>
      </c>
      <c r="F9" s="865">
        <f>+F6*0.0765</f>
        <v>1272.96</v>
      </c>
      <c r="H9" s="850">
        <f>+H6*0.0765</f>
        <v>943.58159999999998</v>
      </c>
      <c r="I9" s="851">
        <f>+I6*0.0765</f>
        <v>656.37</v>
      </c>
      <c r="J9" s="846"/>
      <c r="L9" s="1428" t="s">
        <v>484</v>
      </c>
      <c r="M9" s="1429"/>
    </row>
    <row r="10" spans="1:13" x14ac:dyDescent="0.35">
      <c r="A10" s="849" t="s">
        <v>476</v>
      </c>
      <c r="B10" s="623"/>
      <c r="C10" s="623"/>
      <c r="D10" s="623"/>
      <c r="E10" s="623"/>
      <c r="F10" s="846"/>
      <c r="H10" s="849"/>
      <c r="I10" s="623"/>
      <c r="J10" s="846"/>
      <c r="L10" s="874" t="s">
        <v>485</v>
      </c>
      <c r="M10" s="875" t="s">
        <v>486</v>
      </c>
    </row>
    <row r="11" spans="1:13" x14ac:dyDescent="0.35">
      <c r="A11" s="866" t="s">
        <v>478</v>
      </c>
      <c r="B11" s="853">
        <f>+B6+B9</f>
        <v>14923.7348</v>
      </c>
      <c r="C11" s="853">
        <f>+C6+C9</f>
        <v>4710.5487000000003</v>
      </c>
      <c r="D11" s="867"/>
      <c r="E11" s="853">
        <f>+E6+E9</f>
        <v>16793.400000000001</v>
      </c>
      <c r="F11" s="854">
        <f>+F6+F9</f>
        <v>17912.96</v>
      </c>
      <c r="H11" s="852">
        <f>+H6+H9</f>
        <v>13277.981599999999</v>
      </c>
      <c r="I11" s="853">
        <f>+I6+I9</f>
        <v>9236.3700000000008</v>
      </c>
      <c r="J11" s="872">
        <f>+H11+I11</f>
        <v>22514.351600000002</v>
      </c>
      <c r="K11" s="837"/>
      <c r="L11" s="876">
        <v>8555.2900000000009</v>
      </c>
      <c r="M11" s="877">
        <v>14490.85</v>
      </c>
    </row>
    <row r="12" spans="1:13" x14ac:dyDescent="0.35">
      <c r="C12" s="868"/>
      <c r="D12" s="869" t="s">
        <v>480</v>
      </c>
      <c r="E12" s="870">
        <f>+E11-B11</f>
        <v>1869.6652000000013</v>
      </c>
      <c r="F12" s="871">
        <f>+F11-B11</f>
        <v>2989.2251999999989</v>
      </c>
      <c r="L12" s="878">
        <f>+M11-L11</f>
        <v>5935.5599999999995</v>
      </c>
      <c r="M12" s="482" t="s">
        <v>487</v>
      </c>
    </row>
    <row r="15" spans="1:13" ht="30" x14ac:dyDescent="0.45">
      <c r="A15" s="838" t="s">
        <v>171</v>
      </c>
      <c r="B15" s="855" t="s">
        <v>375</v>
      </c>
      <c r="C15" s="856" t="s">
        <v>291</v>
      </c>
      <c r="D15" s="857"/>
      <c r="E15" s="1431" t="s">
        <v>477</v>
      </c>
      <c r="F15" s="1432"/>
    </row>
    <row r="16" spans="1:13" x14ac:dyDescent="0.35">
      <c r="A16" s="858" t="s">
        <v>472</v>
      </c>
      <c r="B16" s="843">
        <v>19.93</v>
      </c>
      <c r="C16" s="843">
        <v>17.690000000000001</v>
      </c>
      <c r="D16" s="835"/>
      <c r="E16" s="843">
        <v>20.5</v>
      </c>
      <c r="F16" s="859">
        <v>21</v>
      </c>
    </row>
    <row r="17" spans="1:13" x14ac:dyDescent="0.35">
      <c r="A17" s="860" t="s">
        <v>473</v>
      </c>
      <c r="B17" s="845">
        <v>40</v>
      </c>
      <c r="C17" s="845">
        <v>40</v>
      </c>
      <c r="D17" s="623"/>
      <c r="E17" s="845">
        <v>40</v>
      </c>
      <c r="F17" s="861">
        <v>40</v>
      </c>
    </row>
    <row r="18" spans="1:13" x14ac:dyDescent="0.35">
      <c r="A18" s="862" t="s">
        <v>126</v>
      </c>
      <c r="B18" s="848">
        <f>+B16*B17*52</f>
        <v>41454.400000000001</v>
      </c>
      <c r="C18" s="848">
        <f>+C16*C17*52</f>
        <v>36795.200000000004</v>
      </c>
      <c r="D18" s="623"/>
      <c r="E18" s="848">
        <f>+E16*E17*52</f>
        <v>42640</v>
      </c>
      <c r="F18" s="863">
        <f>+F16*F17*52</f>
        <v>43680</v>
      </c>
    </row>
    <row r="19" spans="1:13" x14ac:dyDescent="0.35">
      <c r="A19" s="849"/>
      <c r="B19" s="623"/>
      <c r="C19" s="623"/>
      <c r="D19" s="623"/>
      <c r="E19" s="623"/>
      <c r="F19" s="846"/>
    </row>
    <row r="20" spans="1:13" ht="14.5" customHeight="1" x14ac:dyDescent="0.35">
      <c r="A20" s="849" t="s">
        <v>474</v>
      </c>
      <c r="B20" s="623"/>
      <c r="C20" s="623"/>
      <c r="D20" s="864"/>
      <c r="E20" s="851"/>
      <c r="F20" s="865"/>
      <c r="I20" s="1430" t="s">
        <v>489</v>
      </c>
      <c r="J20" s="1430"/>
      <c r="K20" s="1382"/>
      <c r="L20" s="1436" t="s">
        <v>171</v>
      </c>
      <c r="M20" s="1432"/>
    </row>
    <row r="21" spans="1:13" x14ac:dyDescent="0.35">
      <c r="A21" s="849" t="s">
        <v>475</v>
      </c>
      <c r="B21" s="851">
        <f>+B18*0.0765</f>
        <v>3171.2616000000003</v>
      </c>
      <c r="C21" s="851">
        <f>+C18*0.0765</f>
        <v>2814.8328000000001</v>
      </c>
      <c r="D21" s="864"/>
      <c r="E21" s="851">
        <f>+E18*0.0765</f>
        <v>3261.96</v>
      </c>
      <c r="F21" s="865">
        <f>+F18*0.0765</f>
        <v>3341.52</v>
      </c>
      <c r="I21" s="1430"/>
      <c r="J21" s="1430"/>
      <c r="K21" s="1382"/>
      <c r="L21" s="1428" t="s">
        <v>484</v>
      </c>
      <c r="M21" s="1429"/>
    </row>
    <row r="22" spans="1:13" x14ac:dyDescent="0.35">
      <c r="A22" s="849" t="s">
        <v>476</v>
      </c>
      <c r="B22" s="623"/>
      <c r="C22" s="623"/>
      <c r="D22" s="623"/>
      <c r="E22" s="623"/>
      <c r="F22" s="846"/>
      <c r="I22" s="1430"/>
      <c r="J22" s="1430"/>
      <c r="K22" s="1382"/>
      <c r="L22" s="874" t="s">
        <v>485</v>
      </c>
      <c r="M22" s="875" t="s">
        <v>486</v>
      </c>
    </row>
    <row r="23" spans="1:13" x14ac:dyDescent="0.35">
      <c r="A23" s="866" t="s">
        <v>478</v>
      </c>
      <c r="B23" s="853">
        <f>+B18+B21</f>
        <v>44625.661599999999</v>
      </c>
      <c r="C23" s="853">
        <f>+C18+C21</f>
        <v>39610.032800000001</v>
      </c>
      <c r="D23" s="867"/>
      <c r="E23" s="853">
        <f>+E18+E21</f>
        <v>45901.96</v>
      </c>
      <c r="F23" s="854">
        <f>+F18+F21</f>
        <v>47021.52</v>
      </c>
      <c r="I23" s="1430"/>
      <c r="J23" s="1430"/>
      <c r="K23" s="1382"/>
      <c r="L23" s="876">
        <v>15623.14</v>
      </c>
      <c r="M23" s="877">
        <v>17272.5</v>
      </c>
    </row>
    <row r="24" spans="1:13" x14ac:dyDescent="0.35">
      <c r="C24" s="873"/>
      <c r="D24" s="869" t="s">
        <v>480</v>
      </c>
      <c r="E24" s="870">
        <f>+E23-B23</f>
        <v>1276.2983999999997</v>
      </c>
      <c r="F24" s="871">
        <f>+F23-B23</f>
        <v>2395.8583999999973</v>
      </c>
      <c r="I24" s="1430"/>
      <c r="J24" s="1430"/>
      <c r="K24" s="1382"/>
      <c r="L24" s="878">
        <f>+M23-L23</f>
        <v>1649.3600000000006</v>
      </c>
      <c r="M24" s="482" t="s">
        <v>487</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0" hidden="1" customWidth="1"/>
    <col min="2" max="2" width="4.36328125" style="2" customWidth="1"/>
    <col min="3" max="3" width="9.08984375" style="1"/>
    <col min="4" max="4" width="24.81640625" style="46" customWidth="1"/>
    <col min="5" max="5" width="11.08984375" style="1" customWidth="1"/>
    <col min="6" max="9" width="14.6328125" style="1" customWidth="1"/>
    <col min="10" max="16384" width="9.08984375" style="1"/>
  </cols>
  <sheetData>
    <row r="1" spans="1:9" ht="41.25" customHeight="1" x14ac:dyDescent="0.35">
      <c r="B1" s="332" t="s">
        <v>80</v>
      </c>
      <c r="C1" s="330"/>
      <c r="D1" s="330"/>
      <c r="E1" s="330"/>
    </row>
    <row r="2" spans="1:9" ht="23.25" customHeight="1" x14ac:dyDescent="0.35">
      <c r="E2" s="331" t="s">
        <v>79</v>
      </c>
    </row>
    <row r="3" spans="1:9" x14ac:dyDescent="0.35">
      <c r="E3" s="1437" t="s">
        <v>143</v>
      </c>
      <c r="F3" s="1439" t="s">
        <v>143</v>
      </c>
      <c r="G3" s="1440"/>
      <c r="H3" s="1440"/>
      <c r="I3" s="1441"/>
    </row>
    <row r="4" spans="1:9" s="2" customFormat="1" x14ac:dyDescent="0.35">
      <c r="A4" s="41"/>
      <c r="D4" s="13"/>
      <c r="E4" s="1438"/>
      <c r="F4" s="327" t="s">
        <v>219</v>
      </c>
      <c r="G4" s="328" t="s">
        <v>220</v>
      </c>
      <c r="H4" s="328" t="s">
        <v>221</v>
      </c>
      <c r="I4" s="328" t="s">
        <v>222</v>
      </c>
    </row>
    <row r="5" spans="1:9" ht="6" customHeight="1" x14ac:dyDescent="0.35">
      <c r="A5" s="40">
        <v>18</v>
      </c>
    </row>
    <row r="6" spans="1:9" ht="18.5" x14ac:dyDescent="0.35">
      <c r="A6" s="40">
        <v>20</v>
      </c>
      <c r="B6" s="5" t="s">
        <v>85</v>
      </c>
    </row>
    <row r="7" spans="1:9" s="2" customFormat="1" x14ac:dyDescent="0.35">
      <c r="A7" s="40">
        <v>26</v>
      </c>
      <c r="B7" s="10"/>
      <c r="C7" s="11" t="s">
        <v>86</v>
      </c>
      <c r="D7" s="11"/>
      <c r="E7" s="10">
        <v>51330</v>
      </c>
      <c r="H7" s="1">
        <v>51330</v>
      </c>
      <c r="I7" s="1"/>
    </row>
    <row r="8" spans="1:9" s="2" customFormat="1" ht="6.75" customHeight="1" x14ac:dyDescent="0.35">
      <c r="A8" s="40">
        <v>27</v>
      </c>
      <c r="B8" s="13"/>
      <c r="C8" s="14"/>
      <c r="D8" s="13"/>
      <c r="E8" s="13"/>
    </row>
    <row r="9" spans="1:9" s="2" customFormat="1" ht="18.5" x14ac:dyDescent="0.35">
      <c r="A9" s="40">
        <v>28</v>
      </c>
      <c r="B9" s="17" t="s">
        <v>56</v>
      </c>
      <c r="C9" s="14"/>
      <c r="D9" s="13"/>
      <c r="E9" s="13"/>
    </row>
    <row r="10" spans="1:9" x14ac:dyDescent="0.35">
      <c r="A10" s="40">
        <v>29</v>
      </c>
      <c r="B10" s="2" t="s">
        <v>10</v>
      </c>
    </row>
    <row r="11" spans="1:9" x14ac:dyDescent="0.35">
      <c r="A11" s="40">
        <v>30</v>
      </c>
      <c r="C11" s="201" t="s">
        <v>77</v>
      </c>
      <c r="D11" s="210"/>
      <c r="E11" s="198">
        <v>2000</v>
      </c>
      <c r="G11" s="1">
        <v>2000</v>
      </c>
    </row>
    <row r="12" spans="1:9" x14ac:dyDescent="0.35">
      <c r="A12" s="40">
        <v>31</v>
      </c>
      <c r="C12" s="205" t="s">
        <v>11</v>
      </c>
      <c r="D12" s="213"/>
      <c r="E12" s="202">
        <v>1000</v>
      </c>
      <c r="G12" s="1">
        <v>1000</v>
      </c>
    </row>
    <row r="13" spans="1:9" x14ac:dyDescent="0.35">
      <c r="A13" s="40">
        <v>32</v>
      </c>
      <c r="C13" s="205" t="s">
        <v>141</v>
      </c>
      <c r="D13" s="213"/>
      <c r="E13" s="202">
        <v>1000</v>
      </c>
      <c r="G13" s="1">
        <v>1000</v>
      </c>
    </row>
    <row r="14" spans="1:9" x14ac:dyDescent="0.35">
      <c r="A14" s="40">
        <v>33</v>
      </c>
      <c r="C14" s="205" t="s">
        <v>12</v>
      </c>
      <c r="D14" s="213"/>
      <c r="E14" s="202">
        <v>300</v>
      </c>
      <c r="G14" s="1">
        <v>300</v>
      </c>
    </row>
    <row r="15" spans="1:9" ht="14.5" customHeight="1" x14ac:dyDescent="0.35">
      <c r="A15" s="40">
        <v>34</v>
      </c>
      <c r="C15" s="205" t="s">
        <v>13</v>
      </c>
      <c r="D15" s="213"/>
      <c r="E15" s="202">
        <v>200</v>
      </c>
      <c r="G15" s="1">
        <v>200</v>
      </c>
    </row>
    <row r="16" spans="1:9" x14ac:dyDescent="0.35">
      <c r="C16" s="205" t="s">
        <v>100</v>
      </c>
      <c r="D16" s="213"/>
      <c r="E16" s="202">
        <v>750</v>
      </c>
      <c r="G16" s="1">
        <v>750</v>
      </c>
    </row>
    <row r="17" spans="1:7" ht="14.4" customHeight="1" x14ac:dyDescent="0.35">
      <c r="A17" s="40">
        <v>35</v>
      </c>
      <c r="C17" s="209" t="s">
        <v>81</v>
      </c>
      <c r="D17" s="216"/>
      <c r="E17" s="206">
        <v>200</v>
      </c>
      <c r="G17" s="1">
        <v>200</v>
      </c>
    </row>
    <row r="18" spans="1:7" s="2" customFormat="1" x14ac:dyDescent="0.35">
      <c r="A18" s="40">
        <v>36</v>
      </c>
      <c r="B18" s="34" t="s">
        <v>14</v>
      </c>
      <c r="C18" s="34"/>
      <c r="D18" s="34"/>
      <c r="E18" s="34">
        <v>5450</v>
      </c>
    </row>
    <row r="19" spans="1:7" ht="6" customHeight="1" x14ac:dyDescent="0.35">
      <c r="A19" s="40">
        <v>37</v>
      </c>
    </row>
    <row r="20" spans="1:7" x14ac:dyDescent="0.35">
      <c r="A20" s="40">
        <v>40</v>
      </c>
      <c r="B20" s="2" t="s">
        <v>109</v>
      </c>
    </row>
    <row r="21" spans="1:7" x14ac:dyDescent="0.35">
      <c r="A21" s="40">
        <v>41</v>
      </c>
      <c r="C21" s="201" t="s">
        <v>15</v>
      </c>
      <c r="D21" s="210"/>
      <c r="E21" s="221">
        <v>4000</v>
      </c>
      <c r="F21" s="1">
        <v>4000</v>
      </c>
    </row>
    <row r="22" spans="1:7" x14ac:dyDescent="0.35">
      <c r="C22" s="205" t="s">
        <v>114</v>
      </c>
      <c r="D22" s="213"/>
      <c r="E22" s="202">
        <v>0</v>
      </c>
      <c r="F22" s="1">
        <v>0</v>
      </c>
    </row>
    <row r="23" spans="1:7" x14ac:dyDescent="0.35">
      <c r="A23" s="40">
        <v>43</v>
      </c>
      <c r="C23" s="205" t="s">
        <v>16</v>
      </c>
      <c r="D23" s="213"/>
      <c r="E23" s="202">
        <v>100</v>
      </c>
      <c r="F23" s="1">
        <v>100</v>
      </c>
    </row>
    <row r="24" spans="1:7" x14ac:dyDescent="0.35">
      <c r="A24" s="40">
        <v>44</v>
      </c>
      <c r="C24" s="209" t="s">
        <v>17</v>
      </c>
      <c r="D24" s="216"/>
      <c r="E24" s="206">
        <v>200</v>
      </c>
      <c r="F24" s="1">
        <v>200</v>
      </c>
    </row>
    <row r="25" spans="1:7" s="2" customFormat="1" x14ac:dyDescent="0.35">
      <c r="A25" s="40">
        <v>45</v>
      </c>
      <c r="B25" s="34" t="s">
        <v>110</v>
      </c>
      <c r="C25" s="34"/>
      <c r="D25" s="34"/>
      <c r="E25" s="34">
        <v>4300</v>
      </c>
    </row>
    <row r="26" spans="1:7" ht="6.75" customHeight="1" x14ac:dyDescent="0.35">
      <c r="A26" s="40">
        <v>46</v>
      </c>
      <c r="D26" s="1"/>
    </row>
    <row r="27" spans="1:7" s="2" customFormat="1" x14ac:dyDescent="0.35">
      <c r="A27" s="40">
        <v>51</v>
      </c>
      <c r="B27" s="34" t="s">
        <v>18</v>
      </c>
      <c r="C27" s="34"/>
      <c r="D27" s="34"/>
      <c r="E27" s="44">
        <v>12800</v>
      </c>
      <c r="G27" s="1">
        <v>12800</v>
      </c>
    </row>
    <row r="28" spans="1:7" ht="6.75" customHeight="1" x14ac:dyDescent="0.35">
      <c r="A28" s="40">
        <v>52</v>
      </c>
    </row>
    <row r="29" spans="1:7" x14ac:dyDescent="0.35">
      <c r="A29" s="40">
        <v>53</v>
      </c>
      <c r="B29" s="2" t="s">
        <v>87</v>
      </c>
    </row>
    <row r="30" spans="1:7" x14ac:dyDescent="0.35">
      <c r="A30" s="40">
        <v>54</v>
      </c>
      <c r="C30" s="201" t="s">
        <v>88</v>
      </c>
      <c r="D30" s="210"/>
      <c r="E30" s="198">
        <v>400</v>
      </c>
      <c r="F30" s="1">
        <v>400</v>
      </c>
    </row>
    <row r="31" spans="1:7" x14ac:dyDescent="0.35">
      <c r="A31" s="40">
        <v>55</v>
      </c>
      <c r="C31" s="209" t="s">
        <v>84</v>
      </c>
      <c r="D31" s="216"/>
      <c r="E31" s="206">
        <v>150</v>
      </c>
      <c r="F31" s="1">
        <v>150</v>
      </c>
    </row>
    <row r="32" spans="1:7" s="2" customFormat="1" x14ac:dyDescent="0.35">
      <c r="A32" s="40">
        <v>56</v>
      </c>
      <c r="B32" s="34" t="s">
        <v>83</v>
      </c>
      <c r="C32" s="34"/>
      <c r="D32" s="34"/>
      <c r="E32" s="34">
        <v>550</v>
      </c>
    </row>
    <row r="33" spans="1:8" ht="5.25" customHeight="1" x14ac:dyDescent="0.35">
      <c r="A33" s="40">
        <v>57</v>
      </c>
    </row>
    <row r="34" spans="1:8" x14ac:dyDescent="0.35">
      <c r="A34" s="40">
        <v>58</v>
      </c>
      <c r="B34" s="34" t="s">
        <v>19</v>
      </c>
      <c r="C34" s="20"/>
      <c r="D34" s="20"/>
      <c r="E34" s="49">
        <v>200</v>
      </c>
      <c r="H34" s="1">
        <v>200</v>
      </c>
    </row>
    <row r="35" spans="1:8" ht="6" customHeight="1" x14ac:dyDescent="0.35">
      <c r="A35" s="40">
        <v>59</v>
      </c>
    </row>
    <row r="36" spans="1:8" x14ac:dyDescent="0.35">
      <c r="A36" s="40">
        <v>60</v>
      </c>
      <c r="B36" s="2" t="s">
        <v>20</v>
      </c>
    </row>
    <row r="37" spans="1:8" x14ac:dyDescent="0.35">
      <c r="A37" s="40">
        <v>61</v>
      </c>
      <c r="C37" s="201" t="s">
        <v>21</v>
      </c>
      <c r="D37" s="210"/>
      <c r="E37" s="221">
        <v>200</v>
      </c>
      <c r="F37" s="1">
        <v>200</v>
      </c>
    </row>
    <row r="38" spans="1:8" x14ac:dyDescent="0.35">
      <c r="A38" s="40">
        <v>62</v>
      </c>
      <c r="C38" s="205" t="s">
        <v>22</v>
      </c>
      <c r="D38" s="213"/>
      <c r="E38" s="219">
        <v>800</v>
      </c>
      <c r="F38" s="1">
        <v>800</v>
      </c>
    </row>
    <row r="39" spans="1:8" x14ac:dyDescent="0.35">
      <c r="A39" s="40">
        <v>63</v>
      </c>
      <c r="C39" s="205" t="s">
        <v>23</v>
      </c>
      <c r="D39" s="213"/>
      <c r="E39" s="219">
        <v>1000</v>
      </c>
      <c r="H39" s="1">
        <v>1000</v>
      </c>
    </row>
    <row r="40" spans="1:8" x14ac:dyDescent="0.35">
      <c r="A40" s="40">
        <v>64</v>
      </c>
      <c r="C40" s="205" t="s">
        <v>24</v>
      </c>
      <c r="D40" s="213"/>
      <c r="E40" s="219">
        <v>3000</v>
      </c>
      <c r="H40" s="1">
        <v>3000</v>
      </c>
    </row>
    <row r="41" spans="1:8" x14ac:dyDescent="0.35">
      <c r="C41" s="205" t="s">
        <v>103</v>
      </c>
      <c r="D41" s="213"/>
      <c r="E41" s="219">
        <v>200</v>
      </c>
      <c r="F41" s="1">
        <v>200</v>
      </c>
    </row>
    <row r="42" spans="1:8" x14ac:dyDescent="0.35">
      <c r="C42" s="205" t="s">
        <v>134</v>
      </c>
      <c r="D42" s="213"/>
      <c r="E42" s="219">
        <v>0</v>
      </c>
      <c r="F42" s="1">
        <v>0</v>
      </c>
    </row>
    <row r="43" spans="1:8" x14ac:dyDescent="0.35">
      <c r="A43" s="40">
        <v>65</v>
      </c>
      <c r="C43" s="209" t="s">
        <v>107</v>
      </c>
      <c r="D43" s="216"/>
      <c r="E43" s="220">
        <v>1575</v>
      </c>
      <c r="F43" s="1">
        <v>1575</v>
      </c>
    </row>
    <row r="44" spans="1:8" s="2" customFormat="1" x14ac:dyDescent="0.35">
      <c r="A44" s="40">
        <v>66</v>
      </c>
      <c r="B44" s="34" t="s">
        <v>25</v>
      </c>
      <c r="C44" s="34"/>
      <c r="D44" s="34"/>
      <c r="E44" s="34">
        <v>6775</v>
      </c>
    </row>
    <row r="45" spans="1:8" ht="6" customHeight="1" x14ac:dyDescent="0.35">
      <c r="A45" s="40">
        <v>67</v>
      </c>
    </row>
    <row r="46" spans="1:8" x14ac:dyDescent="0.35">
      <c r="A46" s="40">
        <v>68</v>
      </c>
      <c r="B46" s="2" t="s">
        <v>26</v>
      </c>
    </row>
    <row r="47" spans="1:8" ht="14.4" customHeight="1" x14ac:dyDescent="0.35">
      <c r="A47" s="40">
        <v>69</v>
      </c>
      <c r="C47" s="201" t="s">
        <v>27</v>
      </c>
      <c r="D47" s="210"/>
      <c r="E47" s="221">
        <v>3500</v>
      </c>
      <c r="F47" s="1">
        <v>3500</v>
      </c>
    </row>
    <row r="48" spans="1:8" x14ac:dyDescent="0.35">
      <c r="A48" s="40">
        <v>70</v>
      </c>
      <c r="C48" s="205" t="s">
        <v>28</v>
      </c>
      <c r="D48" s="213"/>
      <c r="E48" s="202">
        <v>3250</v>
      </c>
      <c r="F48" s="1">
        <v>3250</v>
      </c>
    </row>
    <row r="49" spans="1:6" ht="14.5" customHeight="1" x14ac:dyDescent="0.35">
      <c r="A49" s="40">
        <v>73</v>
      </c>
      <c r="C49" s="205" t="s">
        <v>29</v>
      </c>
      <c r="D49" s="213"/>
      <c r="E49" s="219">
        <v>13000</v>
      </c>
      <c r="F49" s="1">
        <v>13000</v>
      </c>
    </row>
    <row r="50" spans="1:6" x14ac:dyDescent="0.35">
      <c r="A50" s="40">
        <v>74</v>
      </c>
      <c r="C50" s="205" t="s">
        <v>30</v>
      </c>
      <c r="D50" s="213"/>
      <c r="E50" s="219">
        <v>1000</v>
      </c>
      <c r="F50" s="1">
        <v>1000</v>
      </c>
    </row>
    <row r="51" spans="1:6" x14ac:dyDescent="0.35">
      <c r="A51" s="40">
        <v>75</v>
      </c>
      <c r="C51" s="209" t="s">
        <v>31</v>
      </c>
      <c r="D51" s="216"/>
      <c r="E51" s="220">
        <v>1700</v>
      </c>
      <c r="F51" s="1">
        <v>1700</v>
      </c>
    </row>
    <row r="52" spans="1:6" ht="14.5" customHeight="1" x14ac:dyDescent="0.35">
      <c r="A52" s="40">
        <v>73</v>
      </c>
      <c r="C52" s="205" t="s">
        <v>218</v>
      </c>
      <c r="D52" s="213"/>
      <c r="E52" s="219">
        <v>0</v>
      </c>
      <c r="F52" s="1">
        <v>0</v>
      </c>
    </row>
    <row r="53" spans="1:6" s="2" customFormat="1" x14ac:dyDescent="0.35">
      <c r="A53" s="40">
        <v>76</v>
      </c>
      <c r="B53" s="34" t="s">
        <v>33</v>
      </c>
      <c r="C53" s="34"/>
      <c r="D53" s="34"/>
      <c r="E53" s="34">
        <v>22450</v>
      </c>
    </row>
    <row r="54" spans="1:6" x14ac:dyDescent="0.35">
      <c r="A54" s="40">
        <v>77</v>
      </c>
      <c r="B54" s="34" t="s">
        <v>82</v>
      </c>
      <c r="C54" s="21"/>
      <c r="D54" s="21"/>
      <c r="E54" s="34">
        <v>52525</v>
      </c>
    </row>
    <row r="55" spans="1:6" ht="8.25" customHeight="1" x14ac:dyDescent="0.35">
      <c r="A55" s="40">
        <v>78</v>
      </c>
    </row>
    <row r="56" spans="1:6" ht="30" customHeight="1" x14ac:dyDescent="0.35">
      <c r="A56" s="40">
        <v>79</v>
      </c>
      <c r="B56" s="5" t="s">
        <v>32</v>
      </c>
    </row>
    <row r="57" spans="1:6" ht="15" customHeight="1" x14ac:dyDescent="0.35">
      <c r="A57" s="40">
        <v>80</v>
      </c>
      <c r="B57" s="2" t="s">
        <v>111</v>
      </c>
      <c r="D57" s="46" t="s">
        <v>169</v>
      </c>
    </row>
    <row r="58" spans="1:6" ht="14.5" customHeight="1" x14ac:dyDescent="0.35">
      <c r="A58" s="40">
        <v>81</v>
      </c>
      <c r="C58" s="201" t="s">
        <v>131</v>
      </c>
      <c r="D58" s="210"/>
      <c r="E58" s="227">
        <v>72737</v>
      </c>
    </row>
    <row r="59" spans="1:6" x14ac:dyDescent="0.35">
      <c r="A59" s="40">
        <v>82</v>
      </c>
      <c r="C59" s="205" t="s">
        <v>34</v>
      </c>
      <c r="D59" s="213"/>
      <c r="E59" s="235">
        <v>1500</v>
      </c>
    </row>
    <row r="60" spans="1:6" ht="14.5" customHeight="1" x14ac:dyDescent="0.35">
      <c r="C60" s="205" t="s">
        <v>97</v>
      </c>
      <c r="D60" s="213"/>
      <c r="E60" s="235">
        <v>5564.3805000000002</v>
      </c>
    </row>
    <row r="61" spans="1:6" ht="14" customHeight="1" x14ac:dyDescent="0.35">
      <c r="C61" s="205" t="s">
        <v>127</v>
      </c>
      <c r="D61" s="213"/>
      <c r="E61" s="235">
        <v>16110</v>
      </c>
    </row>
    <row r="62" spans="1:6" ht="14.4" customHeight="1" x14ac:dyDescent="0.35">
      <c r="A62" s="40">
        <v>83</v>
      </c>
      <c r="C62" s="205" t="s">
        <v>128</v>
      </c>
      <c r="D62" s="213"/>
      <c r="E62" s="235">
        <v>2662</v>
      </c>
    </row>
    <row r="63" spans="1:6" x14ac:dyDescent="0.35">
      <c r="C63" s="205" t="s">
        <v>99</v>
      </c>
      <c r="D63" s="213"/>
      <c r="E63" s="235">
        <v>600</v>
      </c>
    </row>
    <row r="64" spans="1:6" x14ac:dyDescent="0.35">
      <c r="C64" s="205" t="s">
        <v>163</v>
      </c>
      <c r="D64" s="213"/>
      <c r="E64" s="235">
        <v>480</v>
      </c>
    </row>
    <row r="65" spans="1:8" x14ac:dyDescent="0.35">
      <c r="A65" s="40">
        <v>85</v>
      </c>
      <c r="C65" s="209" t="s">
        <v>35</v>
      </c>
      <c r="D65" s="216"/>
      <c r="E65" s="244">
        <v>1000</v>
      </c>
      <c r="F65" s="329">
        <v>0.4</v>
      </c>
      <c r="G65" s="329">
        <v>0.2</v>
      </c>
      <c r="H65" s="329">
        <v>0.4</v>
      </c>
    </row>
    <row r="66" spans="1:8" s="2" customFormat="1" x14ac:dyDescent="0.35">
      <c r="A66" s="40">
        <v>86</v>
      </c>
      <c r="B66" s="22" t="s">
        <v>112</v>
      </c>
      <c r="C66" s="22"/>
      <c r="D66" s="22"/>
      <c r="E66" s="22">
        <v>100653.3805</v>
      </c>
      <c r="F66" s="2">
        <v>40261.352200000001</v>
      </c>
      <c r="G66" s="2">
        <v>20130.676100000001</v>
      </c>
      <c r="H66" s="2">
        <v>40261.352200000001</v>
      </c>
    </row>
    <row r="67" spans="1:8" ht="6.75" customHeight="1" x14ac:dyDescent="0.35">
      <c r="A67" s="40">
        <v>87</v>
      </c>
    </row>
    <row r="68" spans="1:8" x14ac:dyDescent="0.35">
      <c r="A68" s="40">
        <v>88</v>
      </c>
      <c r="B68" s="2" t="s">
        <v>139</v>
      </c>
      <c r="E68" s="36"/>
    </row>
    <row r="69" spans="1:8" x14ac:dyDescent="0.35">
      <c r="A69" s="40">
        <v>89</v>
      </c>
      <c r="C69" s="201" t="s">
        <v>36</v>
      </c>
      <c r="D69" s="210"/>
      <c r="E69" s="221">
        <v>45000</v>
      </c>
    </row>
    <row r="70" spans="1:8" x14ac:dyDescent="0.35">
      <c r="C70" s="205" t="s">
        <v>35</v>
      </c>
      <c r="D70" s="213"/>
      <c r="E70" s="219">
        <v>750</v>
      </c>
    </row>
    <row r="71" spans="1:8" x14ac:dyDescent="0.35">
      <c r="C71" s="205" t="s">
        <v>37</v>
      </c>
      <c r="D71" s="213"/>
      <c r="E71" s="219">
        <v>1500</v>
      </c>
    </row>
    <row r="72" spans="1:8" x14ac:dyDescent="0.35">
      <c r="C72" s="205" t="s">
        <v>163</v>
      </c>
      <c r="D72" s="213"/>
      <c r="E72" s="219">
        <v>480</v>
      </c>
    </row>
    <row r="73" spans="1:8" x14ac:dyDescent="0.35">
      <c r="C73" s="205" t="s">
        <v>99</v>
      </c>
      <c r="D73" s="213"/>
      <c r="E73" s="219">
        <v>350</v>
      </c>
    </row>
    <row r="74" spans="1:8" x14ac:dyDescent="0.35">
      <c r="A74" s="40">
        <v>90</v>
      </c>
      <c r="C74" s="209" t="s">
        <v>168</v>
      </c>
      <c r="D74" s="216"/>
      <c r="E74" s="220">
        <v>2000</v>
      </c>
      <c r="F74" s="329">
        <v>0.4</v>
      </c>
      <c r="G74" s="329">
        <v>0.4</v>
      </c>
      <c r="H74" s="329">
        <v>0.2</v>
      </c>
    </row>
    <row r="75" spans="1:8" s="2" customFormat="1" x14ac:dyDescent="0.35">
      <c r="A75" s="40">
        <v>91</v>
      </c>
      <c r="B75" s="22" t="s">
        <v>140</v>
      </c>
      <c r="C75" s="22"/>
      <c r="D75" s="22"/>
      <c r="E75" s="22">
        <v>50080</v>
      </c>
      <c r="F75" s="2">
        <v>20032</v>
      </c>
      <c r="G75" s="2">
        <v>20032</v>
      </c>
      <c r="H75" s="2">
        <v>10016</v>
      </c>
    </row>
    <row r="76" spans="1:8" ht="4.5" customHeight="1" x14ac:dyDescent="0.35">
      <c r="A76" s="40">
        <v>92</v>
      </c>
    </row>
    <row r="77" spans="1:8" ht="4.5" customHeight="1" x14ac:dyDescent="0.35"/>
    <row r="78" spans="1:8" x14ac:dyDescent="0.35">
      <c r="A78" s="40">
        <v>93</v>
      </c>
      <c r="B78" s="2" t="s">
        <v>122</v>
      </c>
    </row>
    <row r="79" spans="1:8" x14ac:dyDescent="0.35">
      <c r="A79" s="40">
        <v>94</v>
      </c>
      <c r="C79" s="201" t="s">
        <v>36</v>
      </c>
      <c r="D79" s="210"/>
      <c r="E79" s="227">
        <v>20808</v>
      </c>
      <c r="G79" s="1">
        <v>20808</v>
      </c>
    </row>
    <row r="80" spans="1:8" x14ac:dyDescent="0.35">
      <c r="A80" s="40">
        <v>95</v>
      </c>
      <c r="C80" s="209" t="s">
        <v>38</v>
      </c>
      <c r="D80" s="216"/>
      <c r="E80" s="244">
        <v>800</v>
      </c>
      <c r="G80" s="1">
        <v>800</v>
      </c>
    </row>
    <row r="81" spans="1:7" s="2" customFormat="1" x14ac:dyDescent="0.35">
      <c r="A81" s="40">
        <v>96</v>
      </c>
      <c r="B81" s="22" t="s">
        <v>39</v>
      </c>
      <c r="C81" s="22"/>
      <c r="D81" s="22"/>
      <c r="E81" s="22">
        <v>21608</v>
      </c>
    </row>
    <row r="82" spans="1:7" ht="6" customHeight="1" x14ac:dyDescent="0.35">
      <c r="A82" s="40">
        <v>97</v>
      </c>
    </row>
    <row r="83" spans="1:7" ht="6" customHeight="1" x14ac:dyDescent="0.35">
      <c r="A83" s="40">
        <v>106</v>
      </c>
    </row>
    <row r="84" spans="1:7" x14ac:dyDescent="0.35">
      <c r="A84" s="40">
        <v>107</v>
      </c>
      <c r="B84" s="2" t="s">
        <v>40</v>
      </c>
    </row>
    <row r="85" spans="1:7" x14ac:dyDescent="0.35">
      <c r="A85" s="40">
        <v>108</v>
      </c>
      <c r="C85" s="201" t="s">
        <v>101</v>
      </c>
      <c r="D85" s="210"/>
      <c r="E85" s="227">
        <v>15918</v>
      </c>
      <c r="F85" s="1">
        <v>15918</v>
      </c>
    </row>
    <row r="86" spans="1:7" x14ac:dyDescent="0.35">
      <c r="C86" s="201" t="s">
        <v>172</v>
      </c>
      <c r="D86" s="210"/>
      <c r="E86" s="227">
        <v>3000</v>
      </c>
      <c r="F86" s="1">
        <v>3000</v>
      </c>
    </row>
    <row r="87" spans="1:7" x14ac:dyDescent="0.35">
      <c r="A87" s="40">
        <v>109</v>
      </c>
      <c r="C87" s="205" t="s">
        <v>41</v>
      </c>
      <c r="D87" s="213"/>
      <c r="E87" s="202">
        <v>500</v>
      </c>
      <c r="F87" s="1">
        <v>500</v>
      </c>
    </row>
    <row r="88" spans="1:7" x14ac:dyDescent="0.35">
      <c r="A88" s="40">
        <v>110</v>
      </c>
      <c r="C88" s="205" t="s">
        <v>42</v>
      </c>
      <c r="D88" s="213"/>
      <c r="E88" s="235">
        <v>13290</v>
      </c>
      <c r="F88" s="1">
        <v>13290</v>
      </c>
    </row>
    <row r="89" spans="1:7" x14ac:dyDescent="0.35">
      <c r="A89" s="40">
        <v>110</v>
      </c>
      <c r="C89" s="1442" t="s">
        <v>212</v>
      </c>
      <c r="D89" s="1442"/>
      <c r="E89" s="235">
        <v>3000</v>
      </c>
      <c r="F89" s="1">
        <v>3000</v>
      </c>
    </row>
    <row r="90" spans="1:7" x14ac:dyDescent="0.35">
      <c r="C90" s="205" t="s">
        <v>210</v>
      </c>
      <c r="D90" s="213"/>
      <c r="E90" s="235">
        <v>3350</v>
      </c>
      <c r="F90" s="1">
        <v>3350</v>
      </c>
    </row>
    <row r="91" spans="1:7" x14ac:dyDescent="0.35">
      <c r="A91" s="40">
        <v>111</v>
      </c>
      <c r="C91" s="205" t="s">
        <v>43</v>
      </c>
      <c r="D91" s="213"/>
      <c r="E91" s="235">
        <v>7484</v>
      </c>
      <c r="F91" s="1">
        <v>7484</v>
      </c>
    </row>
    <row r="92" spans="1:7" x14ac:dyDescent="0.35">
      <c r="A92" s="40">
        <v>112</v>
      </c>
      <c r="C92" s="205" t="s">
        <v>44</v>
      </c>
      <c r="D92" s="213"/>
      <c r="E92" s="235">
        <v>1785</v>
      </c>
      <c r="G92" s="1">
        <v>1785</v>
      </c>
    </row>
    <row r="93" spans="1:7" x14ac:dyDescent="0.35">
      <c r="C93" s="205" t="s">
        <v>98</v>
      </c>
      <c r="D93" s="213"/>
      <c r="E93" s="219">
        <v>0</v>
      </c>
      <c r="G93" s="1">
        <v>0</v>
      </c>
    </row>
    <row r="94" spans="1:7" x14ac:dyDescent="0.35">
      <c r="A94" s="40">
        <v>113</v>
      </c>
      <c r="C94" s="209" t="s">
        <v>102</v>
      </c>
      <c r="D94" s="216"/>
      <c r="E94" s="244">
        <v>2759</v>
      </c>
      <c r="F94" s="1">
        <v>2759</v>
      </c>
    </row>
    <row r="95" spans="1:7" s="2" customFormat="1" x14ac:dyDescent="0.35">
      <c r="A95" s="40">
        <v>114</v>
      </c>
      <c r="B95" s="22" t="s">
        <v>45</v>
      </c>
      <c r="C95" s="22"/>
      <c r="D95" s="22"/>
      <c r="E95" s="22">
        <v>51086</v>
      </c>
    </row>
    <row r="96" spans="1:7" ht="6.75" customHeight="1" x14ac:dyDescent="0.35">
      <c r="A96" s="40">
        <v>115</v>
      </c>
    </row>
    <row r="97" spans="1:9" ht="14.25" customHeight="1" x14ac:dyDescent="0.35">
      <c r="A97" s="40">
        <v>116</v>
      </c>
      <c r="B97" s="2" t="s">
        <v>46</v>
      </c>
      <c r="E97" s="24"/>
      <c r="F97" s="329">
        <v>0.33300000000000002</v>
      </c>
      <c r="G97" s="329">
        <v>0.33300000000000002</v>
      </c>
      <c r="H97" s="329">
        <v>0.33400000000000002</v>
      </c>
    </row>
    <row r="98" spans="1:9" x14ac:dyDescent="0.35">
      <c r="C98" s="205" t="s">
        <v>135</v>
      </c>
      <c r="D98" s="213"/>
      <c r="E98" s="227">
        <v>35360</v>
      </c>
      <c r="F98" s="1">
        <v>11774.880000000001</v>
      </c>
      <c r="G98" s="1">
        <v>11774.880000000001</v>
      </c>
      <c r="H98" s="1">
        <v>11810.24</v>
      </c>
    </row>
    <row r="99" spans="1:9" x14ac:dyDescent="0.35">
      <c r="A99" s="40">
        <v>122</v>
      </c>
      <c r="C99" s="205" t="s">
        <v>137</v>
      </c>
      <c r="D99" s="213"/>
      <c r="E99" s="219">
        <v>1000</v>
      </c>
      <c r="F99" s="1">
        <v>333</v>
      </c>
      <c r="G99" s="1">
        <v>333</v>
      </c>
      <c r="H99" s="1">
        <v>334</v>
      </c>
    </row>
    <row r="100" spans="1:9" x14ac:dyDescent="0.35">
      <c r="A100" s="40">
        <v>118</v>
      </c>
      <c r="C100" s="205" t="s">
        <v>48</v>
      </c>
      <c r="D100" s="213"/>
      <c r="E100" s="235">
        <v>33465</v>
      </c>
      <c r="I100" s="1">
        <v>33465</v>
      </c>
    </row>
    <row r="101" spans="1:9" x14ac:dyDescent="0.35">
      <c r="A101" s="40">
        <v>119</v>
      </c>
      <c r="C101" s="205" t="s">
        <v>49</v>
      </c>
      <c r="D101" s="213"/>
      <c r="E101" s="219">
        <v>400</v>
      </c>
      <c r="F101" s="1">
        <v>133.20000000000002</v>
      </c>
      <c r="G101" s="1">
        <v>133.20000000000002</v>
      </c>
      <c r="H101" s="1">
        <v>133.6</v>
      </c>
    </row>
    <row r="102" spans="1:9" x14ac:dyDescent="0.35">
      <c r="A102" s="40">
        <v>120</v>
      </c>
      <c r="C102" s="205" t="s">
        <v>91</v>
      </c>
      <c r="D102" s="213"/>
      <c r="E102" s="219">
        <v>700</v>
      </c>
      <c r="F102" s="1">
        <v>233.10000000000002</v>
      </c>
      <c r="G102" s="1">
        <v>233.10000000000002</v>
      </c>
      <c r="H102" s="1">
        <v>233.8</v>
      </c>
    </row>
    <row r="103" spans="1:9" ht="14" customHeight="1" x14ac:dyDescent="0.35">
      <c r="C103" s="205" t="s">
        <v>106</v>
      </c>
      <c r="D103" s="213"/>
      <c r="E103" s="235">
        <v>925</v>
      </c>
      <c r="F103" s="1">
        <v>925</v>
      </c>
    </row>
    <row r="104" spans="1:9" x14ac:dyDescent="0.35">
      <c r="C104" s="1442" t="s">
        <v>136</v>
      </c>
      <c r="D104" s="1442"/>
      <c r="E104" s="251">
        <v>11138</v>
      </c>
      <c r="F104" s="1">
        <v>3708.9540000000002</v>
      </c>
      <c r="G104" s="1">
        <v>3708.9540000000002</v>
      </c>
      <c r="H104" s="1">
        <v>3720.0920000000001</v>
      </c>
    </row>
    <row r="105" spans="1:9" ht="14.5" customHeight="1" x14ac:dyDescent="0.35">
      <c r="A105" s="40">
        <v>123</v>
      </c>
      <c r="C105" s="205" t="s">
        <v>50</v>
      </c>
      <c r="D105" s="213"/>
      <c r="E105" s="235">
        <v>14502</v>
      </c>
      <c r="F105" s="1">
        <v>4829.1660000000002</v>
      </c>
      <c r="G105" s="1">
        <v>4829.1660000000002</v>
      </c>
      <c r="H105" s="1">
        <v>4843.6680000000006</v>
      </c>
    </row>
    <row r="106" spans="1:9" ht="14.4" customHeight="1" x14ac:dyDescent="0.35">
      <c r="A106" s="40">
        <v>124</v>
      </c>
      <c r="C106" s="205" t="s">
        <v>51</v>
      </c>
      <c r="D106" s="213"/>
      <c r="E106" s="219">
        <v>3384</v>
      </c>
      <c r="F106" s="1">
        <v>1126.8720000000001</v>
      </c>
      <c r="G106" s="1">
        <v>1126.8720000000001</v>
      </c>
      <c r="H106" s="1">
        <v>1130.2560000000001</v>
      </c>
    </row>
    <row r="107" spans="1:9" x14ac:dyDescent="0.35">
      <c r="A107" s="40">
        <v>125</v>
      </c>
      <c r="C107" s="205" t="s">
        <v>52</v>
      </c>
      <c r="D107" s="213"/>
      <c r="E107" s="50">
        <v>2000</v>
      </c>
      <c r="F107" s="1">
        <v>2000</v>
      </c>
    </row>
    <row r="108" spans="1:9" s="2" customFormat="1" x14ac:dyDescent="0.35">
      <c r="A108" s="40">
        <v>127</v>
      </c>
      <c r="B108" s="22" t="s">
        <v>47</v>
      </c>
      <c r="C108" s="22"/>
      <c r="D108" s="22"/>
      <c r="E108" s="22">
        <v>102874</v>
      </c>
    </row>
    <row r="109" spans="1:9" x14ac:dyDescent="0.35">
      <c r="A109" s="40">
        <v>128</v>
      </c>
      <c r="B109" s="22" t="s">
        <v>53</v>
      </c>
      <c r="C109" s="22"/>
      <c r="D109" s="22"/>
      <c r="E109" s="22">
        <v>326301.38049999997</v>
      </c>
    </row>
    <row r="110" spans="1:9" ht="8.25" customHeight="1" x14ac:dyDescent="0.35">
      <c r="A110" s="40">
        <v>129</v>
      </c>
    </row>
    <row r="111" spans="1:9" ht="18.5" x14ac:dyDescent="0.35">
      <c r="A111" s="40">
        <v>130</v>
      </c>
      <c r="B111" s="5" t="s">
        <v>54</v>
      </c>
    </row>
    <row r="112" spans="1:9" x14ac:dyDescent="0.35">
      <c r="A112" s="40">
        <v>131</v>
      </c>
      <c r="B112" s="2" t="s">
        <v>55</v>
      </c>
    </row>
    <row r="113" spans="1:9" ht="14.4" customHeight="1" x14ac:dyDescent="0.35">
      <c r="A113" s="40">
        <v>132</v>
      </c>
      <c r="C113" s="205" t="s">
        <v>57</v>
      </c>
      <c r="D113" s="213"/>
      <c r="E113" s="221">
        <v>10500</v>
      </c>
      <c r="I113" s="1">
        <v>10500</v>
      </c>
    </row>
    <row r="114" spans="1:9" ht="14.4" customHeight="1" x14ac:dyDescent="0.35">
      <c r="A114" s="40">
        <v>133</v>
      </c>
      <c r="C114" s="205" t="s">
        <v>58</v>
      </c>
      <c r="D114" s="213"/>
      <c r="E114" s="219">
        <v>8160</v>
      </c>
      <c r="I114" s="1">
        <v>8160</v>
      </c>
    </row>
    <row r="115" spans="1:9" x14ac:dyDescent="0.35">
      <c r="A115" s="40">
        <v>134</v>
      </c>
      <c r="C115" s="205" t="s">
        <v>59</v>
      </c>
      <c r="D115" s="213"/>
      <c r="E115" s="202">
        <v>4500</v>
      </c>
      <c r="I115" s="1">
        <v>4500</v>
      </c>
    </row>
    <row r="116" spans="1:9" ht="14.4" customHeight="1" x14ac:dyDescent="0.35">
      <c r="A116" s="40">
        <v>135</v>
      </c>
      <c r="C116" s="205" t="s">
        <v>60</v>
      </c>
      <c r="D116" s="213"/>
      <c r="E116" s="202">
        <v>816</v>
      </c>
      <c r="I116" s="1">
        <v>816</v>
      </c>
    </row>
    <row r="117" spans="1:9" ht="14.4" customHeight="1" x14ac:dyDescent="0.35">
      <c r="A117" s="40">
        <v>136</v>
      </c>
      <c r="C117" s="205" t="s">
        <v>61</v>
      </c>
      <c r="D117" s="213"/>
      <c r="E117" s="219">
        <v>300</v>
      </c>
      <c r="I117" s="1">
        <v>300</v>
      </c>
    </row>
    <row r="118" spans="1:9" ht="14.4" customHeight="1" x14ac:dyDescent="0.35">
      <c r="A118" s="40">
        <v>137</v>
      </c>
      <c r="C118" s="205" t="s">
        <v>62</v>
      </c>
      <c r="D118" s="213"/>
      <c r="E118" s="219">
        <v>600</v>
      </c>
      <c r="I118" s="1">
        <v>600</v>
      </c>
    </row>
    <row r="119" spans="1:9" ht="14.4" customHeight="1" x14ac:dyDescent="0.35">
      <c r="A119" s="40">
        <v>138</v>
      </c>
      <c r="C119" s="205" t="s">
        <v>96</v>
      </c>
      <c r="D119" s="213"/>
      <c r="E119" s="206">
        <v>4500</v>
      </c>
      <c r="I119" s="1">
        <v>4500</v>
      </c>
    </row>
    <row r="120" spans="1:9" s="2" customFormat="1" x14ac:dyDescent="0.35">
      <c r="A120" s="40">
        <v>139</v>
      </c>
      <c r="B120" s="25" t="s">
        <v>63</v>
      </c>
      <c r="C120" s="25"/>
      <c r="D120" s="25"/>
      <c r="E120" s="25">
        <v>29376</v>
      </c>
    </row>
    <row r="121" spans="1:9" s="2" customFormat="1" ht="6.75" customHeight="1" x14ac:dyDescent="0.35">
      <c r="A121" s="40">
        <v>140</v>
      </c>
      <c r="B121" s="13"/>
      <c r="C121" s="13"/>
      <c r="D121" s="13"/>
      <c r="E121" s="13"/>
    </row>
    <row r="122" spans="1:9" x14ac:dyDescent="0.35">
      <c r="A122" s="40">
        <v>141</v>
      </c>
      <c r="B122" s="2" t="s">
        <v>64</v>
      </c>
    </row>
    <row r="123" spans="1:9" x14ac:dyDescent="0.35">
      <c r="A123" s="40">
        <v>142</v>
      </c>
      <c r="C123" s="201" t="s">
        <v>65</v>
      </c>
      <c r="D123" s="210"/>
      <c r="E123" s="221">
        <v>16899.940000000002</v>
      </c>
      <c r="I123" s="1">
        <v>16899.940000000002</v>
      </c>
    </row>
    <row r="124" spans="1:9" x14ac:dyDescent="0.35">
      <c r="A124" s="40">
        <v>143</v>
      </c>
      <c r="C124" s="205" t="s">
        <v>66</v>
      </c>
      <c r="D124" s="213"/>
      <c r="E124" s="202">
        <v>4500</v>
      </c>
      <c r="I124" s="1">
        <v>4500</v>
      </c>
    </row>
    <row r="125" spans="1:9" x14ac:dyDescent="0.35">
      <c r="A125" s="40">
        <v>144</v>
      </c>
      <c r="C125" s="205" t="s">
        <v>89</v>
      </c>
      <c r="D125" s="213"/>
      <c r="E125" s="202">
        <v>4000</v>
      </c>
      <c r="I125" s="1">
        <v>4000</v>
      </c>
    </row>
    <row r="126" spans="1:9" x14ac:dyDescent="0.35">
      <c r="A126" s="40">
        <v>145</v>
      </c>
      <c r="C126" s="1442" t="s">
        <v>92</v>
      </c>
      <c r="D126" s="1442"/>
      <c r="E126" s="219">
        <v>8000</v>
      </c>
      <c r="I126" s="1">
        <v>8000</v>
      </c>
    </row>
    <row r="127" spans="1:9" x14ac:dyDescent="0.35">
      <c r="A127" s="40">
        <v>146</v>
      </c>
      <c r="C127" s="209" t="s">
        <v>67</v>
      </c>
      <c r="D127" s="216"/>
      <c r="E127" s="206">
        <v>8000</v>
      </c>
      <c r="I127" s="1">
        <v>8000</v>
      </c>
    </row>
    <row r="128" spans="1:9" s="2" customFormat="1" x14ac:dyDescent="0.35">
      <c r="A128" s="40">
        <v>150</v>
      </c>
      <c r="B128" s="25" t="s">
        <v>68</v>
      </c>
      <c r="C128" s="25"/>
      <c r="D128" s="25"/>
      <c r="E128" s="25">
        <v>41399.94</v>
      </c>
    </row>
    <row r="129" spans="1:9" x14ac:dyDescent="0.35">
      <c r="A129" s="40">
        <v>151</v>
      </c>
      <c r="B129" s="25" t="s">
        <v>69</v>
      </c>
      <c r="C129" s="25"/>
      <c r="D129" s="25"/>
      <c r="E129" s="25">
        <v>70775.94</v>
      </c>
    </row>
    <row r="130" spans="1:9" ht="4.5" customHeight="1" x14ac:dyDescent="0.35">
      <c r="A130" s="40">
        <v>152</v>
      </c>
    </row>
    <row r="131" spans="1:9" ht="18.5" x14ac:dyDescent="0.35">
      <c r="A131" s="40">
        <v>153</v>
      </c>
      <c r="B131" s="5" t="s">
        <v>70</v>
      </c>
    </row>
    <row r="132" spans="1:9" x14ac:dyDescent="0.35">
      <c r="A132" s="40">
        <v>154</v>
      </c>
      <c r="B132" s="2" t="s">
        <v>71</v>
      </c>
    </row>
    <row r="133" spans="1:9" x14ac:dyDescent="0.35">
      <c r="A133" s="40">
        <v>156</v>
      </c>
      <c r="C133" s="205" t="s">
        <v>108</v>
      </c>
      <c r="D133" s="213"/>
      <c r="E133" s="219">
        <v>12000</v>
      </c>
    </row>
    <row r="134" spans="1:9" x14ac:dyDescent="0.35">
      <c r="A134" s="40">
        <v>157</v>
      </c>
      <c r="C134" s="205" t="s">
        <v>113</v>
      </c>
      <c r="D134" s="213"/>
      <c r="E134" s="219">
        <v>521</v>
      </c>
    </row>
    <row r="135" spans="1:9" s="2" customFormat="1" x14ac:dyDescent="0.35">
      <c r="A135" s="40">
        <v>159</v>
      </c>
      <c r="B135" s="27" t="s">
        <v>74</v>
      </c>
      <c r="C135" s="27"/>
      <c r="D135" s="27"/>
      <c r="E135" s="27">
        <v>12521</v>
      </c>
    </row>
    <row r="136" spans="1:9" ht="7.5" customHeight="1" x14ac:dyDescent="0.35">
      <c r="A136" s="40">
        <v>160</v>
      </c>
      <c r="D136" s="1"/>
    </row>
    <row r="137" spans="1:9" x14ac:dyDescent="0.35">
      <c r="A137" s="40">
        <v>161</v>
      </c>
      <c r="B137" s="29" t="s">
        <v>75</v>
      </c>
      <c r="C137" s="30"/>
      <c r="D137" s="30"/>
      <c r="E137" s="29">
        <v>513453.32049999997</v>
      </c>
    </row>
    <row r="138" spans="1:9" x14ac:dyDescent="0.35">
      <c r="A138" s="40">
        <v>162</v>
      </c>
      <c r="B138" s="29" t="s">
        <v>76</v>
      </c>
      <c r="C138" s="30"/>
      <c r="D138" s="30"/>
      <c r="E138" s="29">
        <v>-153</v>
      </c>
    </row>
    <row r="139" spans="1:9" ht="15" thickBot="1" x14ac:dyDescent="0.4"/>
    <row r="140" spans="1:9" x14ac:dyDescent="0.35">
      <c r="B140" s="75" t="s">
        <v>123</v>
      </c>
      <c r="C140" s="76"/>
      <c r="D140" s="76"/>
      <c r="E140" s="78">
        <v>513300</v>
      </c>
    </row>
    <row r="141" spans="1:9" x14ac:dyDescent="0.35">
      <c r="B141" s="82" t="s">
        <v>115</v>
      </c>
      <c r="C141" s="70"/>
      <c r="D141" s="70"/>
      <c r="E141" s="72">
        <v>500932.32049999997</v>
      </c>
      <c r="F141" s="333">
        <v>164734.65720000005</v>
      </c>
      <c r="G141" s="333">
        <v>103945.78110000001</v>
      </c>
      <c r="H141" s="333">
        <v>128013.94220000002</v>
      </c>
      <c r="I141" s="333">
        <v>104240.94</v>
      </c>
    </row>
    <row r="142" spans="1:9" ht="15" thickBot="1" x14ac:dyDescent="0.4">
      <c r="B142" s="84" t="s">
        <v>124</v>
      </c>
      <c r="C142" s="85"/>
      <c r="D142" s="85"/>
      <c r="E142" s="88">
        <v>12367.679500000027</v>
      </c>
    </row>
    <row r="146" spans="1:4" x14ac:dyDescent="0.35">
      <c r="D146" s="51"/>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35" workbookViewId="0">
      <selection activeCell="E76" sqref="E76"/>
    </sheetView>
  </sheetViews>
  <sheetFormatPr defaultColWidth="9.08984375" defaultRowHeight="14.5" x14ac:dyDescent="0.35"/>
  <cols>
    <col min="1" max="1" width="4.453125" style="40"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6" bestFit="1" customWidth="1"/>
    <col min="13" max="16384" width="9.08984375" style="1"/>
  </cols>
  <sheetData>
    <row r="1" spans="1:12" ht="41.25" customHeight="1" x14ac:dyDescent="0.35">
      <c r="B1" s="1223" t="s">
        <v>80</v>
      </c>
      <c r="C1" s="1223"/>
      <c r="D1" s="1223"/>
      <c r="E1" s="1223"/>
      <c r="F1" s="1223"/>
      <c r="G1" s="1223"/>
      <c r="H1" s="1223"/>
      <c r="I1" s="1223"/>
      <c r="J1" s="1223"/>
      <c r="K1" s="1223"/>
      <c r="L1" s="1223"/>
    </row>
    <row r="2" spans="1:12" ht="8.25" customHeight="1" x14ac:dyDescent="0.35">
      <c r="B2" s="1224"/>
      <c r="C2" s="1224"/>
      <c r="D2" s="1224"/>
      <c r="E2" s="1224"/>
      <c r="F2" s="1224"/>
      <c r="G2" s="1224"/>
      <c r="H2" s="1224"/>
      <c r="I2" s="1224"/>
      <c r="J2" s="1224"/>
      <c r="K2" s="1224"/>
      <c r="L2" s="1224"/>
    </row>
    <row r="3" spans="1:12" ht="18" customHeight="1" x14ac:dyDescent="0.35">
      <c r="E3" s="1228" t="s">
        <v>79</v>
      </c>
      <c r="F3" s="1229"/>
      <c r="G3" s="1229"/>
      <c r="H3" s="1230"/>
      <c r="J3" s="1225" t="str">
        <f>+'New Year-Full Year'!U2</f>
        <v>2023 Year to Date (YTD)</v>
      </c>
      <c r="K3" s="1226"/>
      <c r="L3" s="1227"/>
    </row>
    <row r="4" spans="1:12" ht="25.5" customHeight="1" x14ac:dyDescent="0.35">
      <c r="E4" s="1236" t="str">
        <f>+'New Year-Full Year'!P3</f>
        <v>2024 Budget</v>
      </c>
      <c r="F4" s="1234" t="str">
        <f>+'New Year-Full Year'!Q3</f>
        <v>2023 Budget</v>
      </c>
      <c r="G4" s="1232" t="str">
        <f>Bud_Yr&amp;" Budget vs "&amp;Bud_Yr-1&amp;" Budget"</f>
        <v>2024 Budget vs 2023 Budget</v>
      </c>
      <c r="H4" s="1233"/>
      <c r="J4" s="1236" t="str">
        <f>+'New Year-Full Year'!U3</f>
        <v>December 2023 YTD Actual</v>
      </c>
      <c r="K4" s="1234" t="str">
        <f>+'New Year-Full Year'!V3</f>
        <v>December 2023 YTD Budget</v>
      </c>
      <c r="L4" s="1238" t="s">
        <v>78</v>
      </c>
    </row>
    <row r="5" spans="1:12" s="2" customFormat="1" x14ac:dyDescent="0.35">
      <c r="A5" s="41"/>
      <c r="E5" s="1237"/>
      <c r="F5" s="1235"/>
      <c r="G5" s="472" t="s">
        <v>104</v>
      </c>
      <c r="H5" s="47" t="s">
        <v>105</v>
      </c>
      <c r="J5" s="1237"/>
      <c r="K5" s="1235"/>
      <c r="L5" s="1239"/>
    </row>
    <row r="6" spans="1:12" s="2" customFormat="1" ht="19.5" customHeight="1" x14ac:dyDescent="0.35">
      <c r="A6" s="41"/>
      <c r="B6" s="5" t="s">
        <v>0</v>
      </c>
      <c r="E6" s="6"/>
      <c r="F6" s="37"/>
      <c r="G6" s="37"/>
      <c r="H6" s="37"/>
      <c r="J6" s="37"/>
      <c r="K6" s="37"/>
      <c r="L6" s="37"/>
    </row>
    <row r="7" spans="1:12" ht="19.5" customHeight="1" x14ac:dyDescent="0.35">
      <c r="A7" s="40">
        <v>1</v>
      </c>
      <c r="B7" s="776" t="str">
        <f>+'New Year-Full Year'!B6</f>
        <v>Envelope Giving</v>
      </c>
    </row>
    <row r="8" spans="1:12" x14ac:dyDescent="0.35">
      <c r="A8" s="40">
        <v>2</v>
      </c>
      <c r="C8" s="1" t="str">
        <f>+'New Year-Full Year'!C7</f>
        <v>Envelope Giving (general)</v>
      </c>
      <c r="E8" s="35">
        <f>+'New Year-Full Year'!P7</f>
        <v>400000</v>
      </c>
      <c r="F8" s="35">
        <f>+'New Year-Full Year'!Q7</f>
        <v>400000</v>
      </c>
      <c r="G8" s="35">
        <f t="shared" ref="G8:G12" si="0">+E8-F8</f>
        <v>0</v>
      </c>
      <c r="H8" s="3">
        <f t="shared" ref="H8:H13" si="1">IF(F8=0,"NA",(+E8-F8)/F8)</f>
        <v>0</v>
      </c>
      <c r="J8" s="35">
        <f>+'New Year-Full Year'!U7</f>
        <v>401220.44</v>
      </c>
      <c r="K8" s="35">
        <f>+'New Year-Full Year'!V7</f>
        <v>400000</v>
      </c>
      <c r="L8" s="3">
        <f t="shared" ref="L8:L13" si="2">IF(K8=0,"NA",(+J8-K8)/K8)</f>
        <v>3.0511000000000058E-3</v>
      </c>
    </row>
    <row r="9" spans="1:12" x14ac:dyDescent="0.35">
      <c r="A9" s="40">
        <v>4</v>
      </c>
      <c r="C9" s="1" t="str">
        <f>+'New Year-Full Year'!C8</f>
        <v>Easter Offerings</v>
      </c>
      <c r="E9" s="35">
        <f>+'New Year-Full Year'!P8</f>
        <v>3000</v>
      </c>
      <c r="F9" s="35">
        <f>+'New Year-Full Year'!Q8</f>
        <v>3000</v>
      </c>
      <c r="G9" s="35">
        <f t="shared" si="0"/>
        <v>0</v>
      </c>
      <c r="H9" s="3">
        <f t="shared" si="1"/>
        <v>0</v>
      </c>
      <c r="J9" s="35">
        <f>+'New Year-Full Year'!U8</f>
        <v>3121</v>
      </c>
      <c r="K9" s="35">
        <f>+'New Year-Full Year'!V8</f>
        <v>3000</v>
      </c>
      <c r="L9" s="3">
        <f t="shared" si="2"/>
        <v>4.0333333333333332E-2</v>
      </c>
    </row>
    <row r="10" spans="1:12" x14ac:dyDescent="0.35">
      <c r="A10" s="40">
        <v>5</v>
      </c>
      <c r="C10" s="1" t="str">
        <f>+'New Year-Full Year'!C9</f>
        <v>Thanksgiving Offerings</v>
      </c>
      <c r="E10" s="35">
        <f>+'New Year-Full Year'!P9</f>
        <v>500</v>
      </c>
      <c r="F10" s="35">
        <f>+'New Year-Full Year'!Q9</f>
        <v>500</v>
      </c>
      <c r="G10" s="35">
        <f t="shared" si="0"/>
        <v>0</v>
      </c>
      <c r="H10" s="3">
        <f t="shared" si="1"/>
        <v>0</v>
      </c>
      <c r="J10" s="35">
        <f>+'New Year-Full Year'!U9</f>
        <v>245</v>
      </c>
      <c r="K10" s="35">
        <f>+'New Year-Full Year'!V9</f>
        <v>500</v>
      </c>
      <c r="L10" s="3">
        <f t="shared" si="2"/>
        <v>-0.51</v>
      </c>
    </row>
    <row r="11" spans="1:12" x14ac:dyDescent="0.35">
      <c r="A11" s="40">
        <v>6</v>
      </c>
      <c r="C11" s="1" t="str">
        <f>+'New Year-Full Year'!C10</f>
        <v>Christmas Offerings</v>
      </c>
      <c r="E11" s="35">
        <f>+'New Year-Full Year'!P10</f>
        <v>5000</v>
      </c>
      <c r="F11" s="35">
        <f>+'New Year-Full Year'!Q10</f>
        <v>5000</v>
      </c>
      <c r="G11" s="35">
        <f t="shared" si="0"/>
        <v>0</v>
      </c>
      <c r="H11" s="3">
        <f t="shared" si="1"/>
        <v>0</v>
      </c>
      <c r="J11" s="35">
        <f>+'New Year-Full Year'!U10</f>
        <v>4258</v>
      </c>
      <c r="K11" s="35">
        <f>+'New Year-Full Year'!V10</f>
        <v>5000</v>
      </c>
      <c r="L11" s="3">
        <f t="shared" si="2"/>
        <v>-0.1484</v>
      </c>
    </row>
    <row r="12" spans="1:12" x14ac:dyDescent="0.35">
      <c r="A12" s="40">
        <v>7</v>
      </c>
      <c r="C12" s="1" t="str">
        <f>+'New Year-Full Year'!C11</f>
        <v>Lenten Offerings</v>
      </c>
      <c r="E12" s="35">
        <f>+'New Year-Full Year'!P11</f>
        <v>1500</v>
      </c>
      <c r="F12" s="35">
        <f>+'New Year-Full Year'!Q11</f>
        <v>1500</v>
      </c>
      <c r="G12" s="35">
        <f t="shared" si="0"/>
        <v>0</v>
      </c>
      <c r="H12" s="3">
        <f t="shared" si="1"/>
        <v>0</v>
      </c>
      <c r="J12" s="35">
        <f>+'New Year-Full Year'!U11</f>
        <v>1460</v>
      </c>
      <c r="K12" s="35">
        <f>+'New Year-Full Year'!V11</f>
        <v>1500</v>
      </c>
      <c r="L12" s="3">
        <f t="shared" si="2"/>
        <v>-2.6666666666666668E-2</v>
      </c>
    </row>
    <row r="13" spans="1:12" x14ac:dyDescent="0.35">
      <c r="A13" s="40">
        <v>8</v>
      </c>
      <c r="B13" s="8" t="str">
        <f>+'New Year-Full Year'!B12</f>
        <v>Total Envelope Giving</v>
      </c>
      <c r="C13" s="8"/>
      <c r="D13" s="8"/>
      <c r="E13" s="8">
        <f>SUM(E8:E12)</f>
        <v>410000</v>
      </c>
      <c r="F13" s="8">
        <f>SUM(F8:F12)</f>
        <v>410000</v>
      </c>
      <c r="G13" s="8">
        <f>SUM(G8:G12)</f>
        <v>0</v>
      </c>
      <c r="H13" s="9">
        <f t="shared" si="1"/>
        <v>0</v>
      </c>
      <c r="J13" s="8">
        <f>SUM(J8:J12)</f>
        <v>410304.44</v>
      </c>
      <c r="K13" s="8">
        <f>SUM(K8:K12)</f>
        <v>410000</v>
      </c>
      <c r="L13" s="9">
        <f t="shared" si="2"/>
        <v>7.4253658536585932E-4</v>
      </c>
    </row>
    <row r="14" spans="1:12" ht="19.5" customHeight="1" x14ac:dyDescent="0.35">
      <c r="A14" s="40">
        <v>10</v>
      </c>
      <c r="B14" s="776" t="s">
        <v>7</v>
      </c>
      <c r="H14" s="36"/>
    </row>
    <row r="15" spans="1:12" x14ac:dyDescent="0.35">
      <c r="A15" s="40">
        <v>11</v>
      </c>
      <c r="C15" s="1" t="e">
        <f>+'New Year-Full Year'!#REF!</f>
        <v>#REF!</v>
      </c>
      <c r="E15" s="35" t="e">
        <f>+'New Year-Full Year'!#REF!</f>
        <v>#REF!</v>
      </c>
      <c r="F15" s="35" t="e">
        <f>+'New Year-Full Year'!#REF!</f>
        <v>#REF!</v>
      </c>
      <c r="G15" s="35" t="e">
        <f>+E15-F15</f>
        <v>#REF!</v>
      </c>
      <c r="H15" s="3" t="e">
        <f>IF(F15=0,"NA",(+E15-F15)/F15)</f>
        <v>#REF!</v>
      </c>
      <c r="J15" s="35" t="e">
        <f>+'New Year-Full Year'!#REF!</f>
        <v>#REF!</v>
      </c>
      <c r="K15" s="35" t="e">
        <f>+'New Year-Full Year'!#REF!</f>
        <v>#REF!</v>
      </c>
      <c r="L15" s="3" t="e">
        <f>IF(K15=0,"NA",(+J15-K15)/K15)</f>
        <v>#REF!</v>
      </c>
    </row>
    <row r="16" spans="1:12" x14ac:dyDescent="0.35">
      <c r="A16" s="40">
        <v>15</v>
      </c>
      <c r="C16" s="1" t="e">
        <f>+'New Year-Full Year'!#REF!</f>
        <v>#REF!</v>
      </c>
      <c r="E16" s="35" t="e">
        <f>+'New Year-Full Year'!#REF!</f>
        <v>#REF!</v>
      </c>
      <c r="F16" s="35" t="e">
        <f>+'New Year-Full Year'!#REF!</f>
        <v>#REF!</v>
      </c>
      <c r="G16" s="35"/>
      <c r="H16" s="3" t="e">
        <f>IF(F16=0,"NA",(+E16-F16)/F16)</f>
        <v>#REF!</v>
      </c>
      <c r="J16" s="35" t="e">
        <f>+'New Year-Full Year'!#REF!</f>
        <v>#REF!</v>
      </c>
      <c r="K16" s="35" t="e">
        <f>+'New Year-Full Year'!#REF!</f>
        <v>#REF!</v>
      </c>
      <c r="L16" s="3" t="e">
        <f>IF(K16=0,"NA",(+J16-K16)/K16)</f>
        <v>#REF!</v>
      </c>
    </row>
    <row r="17" spans="1:12" x14ac:dyDescent="0.35">
      <c r="A17" s="40">
        <v>16</v>
      </c>
      <c r="B17" s="8">
        <f>+'New Year-Full Year'!B13</f>
        <v>0</v>
      </c>
      <c r="C17" s="8"/>
      <c r="D17" s="8"/>
      <c r="E17" s="8" t="e">
        <f>SUM(E15:E16)</f>
        <v>#REF!</v>
      </c>
      <c r="F17" s="8" t="e">
        <f>SUM(F15:F16)</f>
        <v>#REF!</v>
      </c>
      <c r="G17" s="8" t="e">
        <f>SUM(G15:G16)</f>
        <v>#REF!</v>
      </c>
      <c r="H17" s="9" t="e">
        <f>IF(F17=0,"NA",(+E17-F17)/F17)</f>
        <v>#REF!</v>
      </c>
      <c r="J17" s="8" t="e">
        <f>SUM(J15:J16)</f>
        <v>#REF!</v>
      </c>
      <c r="K17" s="8" t="e">
        <f>SUM(K15:K16)</f>
        <v>#REF!</v>
      </c>
      <c r="L17" s="9" t="e">
        <f>IF(K17=0,"NA",(+J17-K17)/K17)</f>
        <v>#REF!</v>
      </c>
    </row>
    <row r="18" spans="1:12" x14ac:dyDescent="0.35">
      <c r="B18" s="8" t="str">
        <f>+'New Year-Full Year'!B14</f>
        <v>TOTAL INCOME</v>
      </c>
      <c r="C18" s="8"/>
      <c r="D18" s="8"/>
      <c r="E18" s="8" t="e">
        <f>+E13+E17</f>
        <v>#REF!</v>
      </c>
      <c r="F18" s="8" t="e">
        <f>+F13+F17</f>
        <v>#REF!</v>
      </c>
      <c r="G18" s="8" t="e">
        <f>+G13+G17</f>
        <v>#REF!</v>
      </c>
      <c r="H18" s="9" t="e">
        <f>IF(F18=0,"NA",(+E18-F18)/F18)</f>
        <v>#REF!</v>
      </c>
      <c r="J18" s="8" t="e">
        <f>+J13+J17</f>
        <v>#REF!</v>
      </c>
      <c r="K18" s="8" t="e">
        <f>+K13+K17</f>
        <v>#REF!</v>
      </c>
      <c r="L18" s="9" t="e">
        <f>IF(K18=0,"NA",(+J18-K18)/K18)</f>
        <v>#REF!</v>
      </c>
    </row>
    <row r="19" spans="1:12" ht="23" customHeight="1" x14ac:dyDescent="0.35">
      <c r="A19" s="40">
        <v>19</v>
      </c>
      <c r="B19" s="5" t="str">
        <f>+'New Year-Full Year'!B15</f>
        <v>Expenses</v>
      </c>
      <c r="H19" s="36"/>
    </row>
    <row r="20" spans="1:12" ht="19.5" customHeight="1" x14ac:dyDescent="0.35">
      <c r="A20" s="5" t="s">
        <v>85</v>
      </c>
      <c r="B20" s="5" t="str">
        <f>+'New Year-Full Year'!B16</f>
        <v>Benevolence</v>
      </c>
      <c r="C20" s="46"/>
      <c r="H20" s="36"/>
    </row>
    <row r="21" spans="1:12" ht="14.5" customHeight="1" x14ac:dyDescent="0.35">
      <c r="A21" s="5"/>
      <c r="B21" s="1"/>
      <c r="C21" s="337" t="str">
        <f>+'New Year-Full Year'!C17</f>
        <v xml:space="preserve">Greater Milwaukee Synod </v>
      </c>
      <c r="E21" s="35">
        <f>+'New Year-Full Year'!P17</f>
        <v>17150</v>
      </c>
      <c r="F21" s="35">
        <f>+'New Year-Full Year'!Q17</f>
        <v>18150</v>
      </c>
      <c r="G21" s="35">
        <f>+E21-F21</f>
        <v>-1000</v>
      </c>
      <c r="H21" s="3">
        <f>IF(F21=0,"NA",(+E21-F21)/F21)</f>
        <v>-5.5096418732782371E-2</v>
      </c>
      <c r="J21" s="35">
        <f>+'New Year-Full Year'!U17</f>
        <v>18150</v>
      </c>
      <c r="K21" s="35">
        <f>+'New Year-Full Year'!V17</f>
        <v>18150</v>
      </c>
      <c r="L21" s="3">
        <f>IF(K21=0,"NA",(+J21-K21)/K21)</f>
        <v>0</v>
      </c>
    </row>
    <row r="22" spans="1:12" ht="14.5" hidden="1" customHeight="1" x14ac:dyDescent="0.35">
      <c r="A22" s="5"/>
      <c r="B22" s="1"/>
      <c r="C22" s="337" t="e">
        <f>+'New Year-Full Year'!#REF!</f>
        <v>#REF!</v>
      </c>
      <c r="E22" s="35" t="e">
        <f>+'New Year-Full Year'!#REF!</f>
        <v>#REF!</v>
      </c>
      <c r="F22" s="35" t="e">
        <f>+'New Year-Full Year'!#REF!</f>
        <v>#REF!</v>
      </c>
      <c r="G22" s="35" t="e">
        <f t="shared" ref="G22:G29" si="3">+E22-F22</f>
        <v>#REF!</v>
      </c>
      <c r="H22" s="3" t="e">
        <f t="shared" ref="H22:H29" si="4">IF(F22=0,"NA",(+E22-F22)/F22)</f>
        <v>#REF!</v>
      </c>
      <c r="J22" s="35" t="e">
        <f>+'New Year-Full Year'!#REF!</f>
        <v>#REF!</v>
      </c>
      <c r="K22" s="35" t="e">
        <f>+'New Year-Full Year'!#REF!</f>
        <v>#REF!</v>
      </c>
      <c r="L22" s="3" t="e">
        <f t="shared" ref="L22:L29" si="5">IF(K22=0,"NA",(+J22-K22)/K22)</f>
        <v>#REF!</v>
      </c>
    </row>
    <row r="23" spans="1:12" ht="14.5" customHeight="1" x14ac:dyDescent="0.35">
      <c r="A23" s="5"/>
      <c r="B23" s="1"/>
      <c r="C23" s="337" t="str">
        <f>+'New Year-Full Year'!C18</f>
        <v>Lutherdale Bible Camp</v>
      </c>
      <c r="E23" s="35">
        <f>+'New Year-Full Year'!P18</f>
        <v>500</v>
      </c>
      <c r="F23" s="35">
        <f>+'New Year-Full Year'!Q18</f>
        <v>500</v>
      </c>
      <c r="G23" s="35">
        <f t="shared" si="3"/>
        <v>0</v>
      </c>
      <c r="H23" s="3">
        <f t="shared" si="4"/>
        <v>0</v>
      </c>
      <c r="J23" s="35">
        <f>+'New Year-Full Year'!U18</f>
        <v>5300</v>
      </c>
      <c r="K23" s="35">
        <f>+'New Year-Full Year'!V18</f>
        <v>500</v>
      </c>
      <c r="L23" s="3">
        <f t="shared" si="5"/>
        <v>9.6</v>
      </c>
    </row>
    <row r="24" spans="1:12" ht="14.5" customHeight="1" x14ac:dyDescent="0.35">
      <c r="A24" s="5"/>
      <c r="B24" s="1"/>
      <c r="C24" s="337" t="str">
        <f>+'New Year-Full Year'!C19</f>
        <v>Racine Cluster (Living Faith Meal)</v>
      </c>
      <c r="E24" s="35">
        <f>+'New Year-Full Year'!P19</f>
        <v>1500</v>
      </c>
      <c r="F24" s="35">
        <f>+'New Year-Full Year'!Q19</f>
        <v>1500</v>
      </c>
      <c r="G24" s="35">
        <f t="shared" si="3"/>
        <v>0</v>
      </c>
      <c r="H24" s="3">
        <f t="shared" si="4"/>
        <v>0</v>
      </c>
      <c r="J24" s="35">
        <f>+'New Year-Full Year'!U19</f>
        <v>3100</v>
      </c>
      <c r="K24" s="35">
        <f>+'New Year-Full Year'!V19</f>
        <v>1500</v>
      </c>
      <c r="L24" s="3">
        <f t="shared" si="5"/>
        <v>1.0666666666666667</v>
      </c>
    </row>
    <row r="25" spans="1:12" ht="14.5" customHeight="1" x14ac:dyDescent="0.35">
      <c r="A25" s="5"/>
      <c r="B25" s="1"/>
      <c r="C25" s="337" t="str">
        <f>+'New Year-Full Year'!C20</f>
        <v>Racine Interfaith Coalition</v>
      </c>
      <c r="E25" s="35">
        <f>+'New Year-Full Year'!P20</f>
        <v>750</v>
      </c>
      <c r="F25" s="35">
        <f>+'New Year-Full Year'!Q20</f>
        <v>750</v>
      </c>
      <c r="G25" s="35">
        <f t="shared" si="3"/>
        <v>0</v>
      </c>
      <c r="H25" s="3">
        <f t="shared" si="4"/>
        <v>0</v>
      </c>
      <c r="J25" s="35">
        <f>+'New Year-Full Year'!U20</f>
        <v>2350</v>
      </c>
      <c r="K25" s="35">
        <f>+'New Year-Full Year'!V20</f>
        <v>750</v>
      </c>
      <c r="L25" s="3">
        <f t="shared" si="5"/>
        <v>2.1333333333333333</v>
      </c>
    </row>
    <row r="26" spans="1:12" ht="14.5" customHeight="1" x14ac:dyDescent="0.35">
      <c r="A26" s="5"/>
      <c r="B26" s="1"/>
      <c r="C26" s="337" t="str">
        <f>+'New Year-Full Year'!C21</f>
        <v>Good Samaritan</v>
      </c>
      <c r="E26" s="35">
        <f>+'New Year-Full Year'!P21</f>
        <v>1000</v>
      </c>
      <c r="F26" s="35">
        <f>+'New Year-Full Year'!Q21</f>
        <v>1000</v>
      </c>
      <c r="G26" s="35">
        <f t="shared" si="3"/>
        <v>0</v>
      </c>
      <c r="H26" s="3">
        <f t="shared" si="4"/>
        <v>0</v>
      </c>
      <c r="J26" s="35">
        <f>+'New Year-Full Year'!U21</f>
        <v>1000</v>
      </c>
      <c r="K26" s="35">
        <f>+'New Year-Full Year'!V21</f>
        <v>1000</v>
      </c>
      <c r="L26" s="3">
        <f t="shared" si="5"/>
        <v>0</v>
      </c>
    </row>
    <row r="27" spans="1:12" ht="14.5" customHeight="1" x14ac:dyDescent="0.35">
      <c r="A27" s="5"/>
      <c r="B27" s="1"/>
      <c r="C27" s="337" t="str">
        <f>+'New Year-Full Year'!C23</f>
        <v>HALO</v>
      </c>
      <c r="E27" s="35">
        <f>+'New Year-Full Year'!P23</f>
        <v>1000</v>
      </c>
      <c r="F27" s="35">
        <f>+'New Year-Full Year'!Q23</f>
        <v>1000</v>
      </c>
      <c r="G27" s="35">
        <f t="shared" si="3"/>
        <v>0</v>
      </c>
      <c r="H27" s="3">
        <f t="shared" si="4"/>
        <v>0</v>
      </c>
      <c r="J27" s="35">
        <f>+'New Year-Full Year'!U23</f>
        <v>2600</v>
      </c>
      <c r="K27" s="35">
        <f>+'New Year-Full Year'!V23</f>
        <v>1000</v>
      </c>
      <c r="L27" s="3">
        <f t="shared" si="5"/>
        <v>1.6</v>
      </c>
    </row>
    <row r="28" spans="1:12" ht="14.5" customHeight="1" x14ac:dyDescent="0.35">
      <c r="A28" s="5"/>
      <c r="B28" s="1"/>
      <c r="C28" s="337" t="str">
        <f>+'New Year-Full Year'!C24</f>
        <v>Veterans Tiny Homes</v>
      </c>
      <c r="E28" s="35">
        <f>+'New Year-Full Year'!P24</f>
        <v>1000</v>
      </c>
      <c r="F28" s="35">
        <f>+'New Year-Full Year'!Q24</f>
        <v>1000</v>
      </c>
      <c r="G28" s="35">
        <f t="shared" si="3"/>
        <v>0</v>
      </c>
      <c r="H28" s="3">
        <f t="shared" si="4"/>
        <v>0</v>
      </c>
      <c r="J28" s="35">
        <f>+'New Year-Full Year'!U24</f>
        <v>2600</v>
      </c>
      <c r="K28" s="35">
        <f>+'New Year-Full Year'!V24</f>
        <v>1000</v>
      </c>
      <c r="L28" s="3">
        <f t="shared" si="5"/>
        <v>1.6</v>
      </c>
    </row>
    <row r="29" spans="1:12" ht="14.5" customHeight="1" x14ac:dyDescent="0.35">
      <c r="A29" s="5"/>
      <c r="B29" s="1"/>
      <c r="C29" s="337" t="str">
        <f>+'New Year-Full Year'!C25</f>
        <v>Hospitality Center</v>
      </c>
      <c r="E29" s="35">
        <f>+'New Year-Full Year'!P25</f>
        <v>1000</v>
      </c>
      <c r="F29" s="35">
        <f>+'New Year-Full Year'!Q25</f>
        <v>1000</v>
      </c>
      <c r="G29" s="35">
        <f t="shared" si="3"/>
        <v>0</v>
      </c>
      <c r="H29" s="3">
        <f t="shared" si="4"/>
        <v>0</v>
      </c>
      <c r="J29" s="35">
        <f>+'New Year-Full Year'!U25</f>
        <v>2600</v>
      </c>
      <c r="K29" s="35">
        <f>+'New Year-Full Year'!V25</f>
        <v>1000</v>
      </c>
      <c r="L29" s="3">
        <f t="shared" si="5"/>
        <v>1.6</v>
      </c>
    </row>
    <row r="30" spans="1:12" s="2" customFormat="1" x14ac:dyDescent="0.35">
      <c r="A30" s="40">
        <v>26</v>
      </c>
      <c r="B30" s="10"/>
      <c r="C30" s="10" t="str">
        <f>+'New Year-Full Year'!C26</f>
        <v>6% Benevolence Budget                    9.6% Actual YTD</v>
      </c>
      <c r="D30" s="10"/>
      <c r="E30" s="10" t="e">
        <f>SUM(E21:E29)</f>
        <v>#REF!</v>
      </c>
      <c r="F30" s="10" t="e">
        <f>SUM(F21:F29)</f>
        <v>#REF!</v>
      </c>
      <c r="G30" s="10" t="e">
        <f>+E30-F30</f>
        <v>#REF!</v>
      </c>
      <c r="H30" s="12" t="e">
        <f>IF(F30=0,"NA",(+E30-F30)/F30)</f>
        <v>#REF!</v>
      </c>
      <c r="I30" s="1"/>
      <c r="J30" s="10" t="e">
        <f>SUM(J21:J29)</f>
        <v>#REF!</v>
      </c>
      <c r="K30" s="10" t="e">
        <f>SUM(K21:K29)</f>
        <v>#REF!</v>
      </c>
      <c r="L30" s="12" t="e">
        <f>IF(K30=0,"NA",(+J30-K30)/K30)</f>
        <v>#REF!</v>
      </c>
    </row>
    <row r="31" spans="1:12" s="2" customFormat="1" ht="19.5" customHeight="1" x14ac:dyDescent="0.35">
      <c r="A31" s="40">
        <v>28</v>
      </c>
      <c r="B31" s="17" t="s">
        <v>56</v>
      </c>
      <c r="C31" s="14"/>
      <c r="D31" s="13"/>
      <c r="E31" s="788"/>
      <c r="F31" s="788"/>
      <c r="G31" s="15"/>
      <c r="H31" s="16"/>
      <c r="I31" s="13"/>
      <c r="J31" s="788"/>
      <c r="K31" s="788"/>
      <c r="L31" s="16"/>
    </row>
    <row r="32" spans="1:12" ht="19.5" customHeight="1" x14ac:dyDescent="0.35">
      <c r="A32" s="40">
        <v>29</v>
      </c>
      <c r="B32" s="1231" t="str">
        <f>+'New Year-Full Year'!B28</f>
        <v>Parish Ed</v>
      </c>
      <c r="C32" s="1231"/>
      <c r="D32" s="1231"/>
      <c r="H32" s="36"/>
    </row>
    <row r="33" spans="1:12" x14ac:dyDescent="0.35">
      <c r="A33" s="40">
        <v>30</v>
      </c>
      <c r="C33" s="1" t="str">
        <f>+'New Year-Full Year'!C29</f>
        <v>Sunday School</v>
      </c>
      <c r="E33" s="35">
        <f>+'New Year-Full Year'!P29</f>
        <v>1250</v>
      </c>
      <c r="F33" s="35">
        <f>+'New Year-Full Year'!Q29</f>
        <v>1250</v>
      </c>
      <c r="G33" s="35">
        <f t="shared" ref="G33:G38" si="6">+E33-F33</f>
        <v>0</v>
      </c>
      <c r="H33" s="3">
        <f t="shared" ref="H33:H39" si="7">IF(F33=0,"NA",(+E33-F33)/F33)</f>
        <v>0</v>
      </c>
      <c r="J33" s="35">
        <f>+'New Year-Full Year'!U29</f>
        <v>924.7</v>
      </c>
      <c r="K33" s="35">
        <f>+'New Year-Full Year'!V29</f>
        <v>1250</v>
      </c>
      <c r="L33" s="3">
        <f t="shared" ref="L33:L39" si="8">IF(K33=0,"NA",(+J33-K33)/K33)</f>
        <v>-0.26023999999999997</v>
      </c>
    </row>
    <row r="34" spans="1:12" x14ac:dyDescent="0.35">
      <c r="A34" s="40">
        <v>31</v>
      </c>
      <c r="C34" s="1" t="str">
        <f>+'New Year-Full Year'!C30</f>
        <v>Confirmation</v>
      </c>
      <c r="E34" s="35">
        <f>+'New Year-Full Year'!P30</f>
        <v>750</v>
      </c>
      <c r="F34" s="35">
        <f>+'New Year-Full Year'!Q30</f>
        <v>750</v>
      </c>
      <c r="G34" s="35">
        <f t="shared" si="6"/>
        <v>0</v>
      </c>
      <c r="H34" s="3">
        <f t="shared" si="7"/>
        <v>0</v>
      </c>
      <c r="J34" s="35">
        <f>+'New Year-Full Year'!U30</f>
        <v>103.1</v>
      </c>
      <c r="K34" s="35">
        <f>+'New Year-Full Year'!V30</f>
        <v>750</v>
      </c>
      <c r="L34" s="3">
        <f t="shared" si="8"/>
        <v>-0.86253333333333326</v>
      </c>
    </row>
    <row r="35" spans="1:12" x14ac:dyDescent="0.35">
      <c r="A35" s="40">
        <v>32</v>
      </c>
      <c r="C35" s="1" t="str">
        <f>+'New Year-Full Year'!C31</f>
        <v>Neighborhood Camp</v>
      </c>
      <c r="E35" s="35">
        <f>+'New Year-Full Year'!P31</f>
        <v>250</v>
      </c>
      <c r="F35" s="35">
        <f>+'New Year-Full Year'!Q31</f>
        <v>250</v>
      </c>
      <c r="G35" s="35">
        <f t="shared" si="6"/>
        <v>0</v>
      </c>
      <c r="H35" s="3">
        <f t="shared" si="7"/>
        <v>0</v>
      </c>
      <c r="J35" s="35">
        <f>+'New Year-Full Year'!U31</f>
        <v>250</v>
      </c>
      <c r="K35" s="35">
        <f>+'New Year-Full Year'!V31</f>
        <v>250</v>
      </c>
      <c r="L35" s="3">
        <f t="shared" si="8"/>
        <v>0</v>
      </c>
    </row>
    <row r="36" spans="1:12" x14ac:dyDescent="0.35">
      <c r="A36" s="40">
        <v>33</v>
      </c>
      <c r="C36" s="1" t="str">
        <f>+'New Year-Full Year'!C32</f>
        <v>Library</v>
      </c>
      <c r="E36" s="35">
        <f>+'New Year-Full Year'!P32</f>
        <v>300</v>
      </c>
      <c r="F36" s="35">
        <f>+'New Year-Full Year'!Q32</f>
        <v>300</v>
      </c>
      <c r="G36" s="35">
        <f t="shared" si="6"/>
        <v>0</v>
      </c>
      <c r="H36" s="3">
        <f t="shared" si="7"/>
        <v>0</v>
      </c>
      <c r="J36" s="35">
        <f>+'New Year-Full Year'!U32</f>
        <v>300</v>
      </c>
      <c r="K36" s="35">
        <f>+'New Year-Full Year'!V32</f>
        <v>300</v>
      </c>
      <c r="L36" s="3">
        <f t="shared" si="8"/>
        <v>0</v>
      </c>
    </row>
    <row r="37" spans="1:12" x14ac:dyDescent="0.35">
      <c r="A37" s="40">
        <v>34</v>
      </c>
      <c r="C37" s="1" t="str">
        <f>+'New Year-Full Year'!C33</f>
        <v>Communion Education</v>
      </c>
      <c r="E37" s="35">
        <f>+'New Year-Full Year'!P33</f>
        <v>200</v>
      </c>
      <c r="F37" s="35">
        <f>+'New Year-Full Year'!Q33</f>
        <v>200</v>
      </c>
      <c r="G37" s="35">
        <f t="shared" si="6"/>
        <v>0</v>
      </c>
      <c r="H37" s="3">
        <f t="shared" si="7"/>
        <v>0</v>
      </c>
      <c r="J37" s="35">
        <f>+'New Year-Full Year'!U33</f>
        <v>62.06</v>
      </c>
      <c r="K37" s="35">
        <f>+'New Year-Full Year'!V33</f>
        <v>200</v>
      </c>
      <c r="L37" s="3">
        <f t="shared" si="8"/>
        <v>-0.68969999999999998</v>
      </c>
    </row>
    <row r="38" spans="1:12" x14ac:dyDescent="0.35">
      <c r="C38" s="1" t="str">
        <f>+'New Year-Full Year'!C34</f>
        <v>Adult Education</v>
      </c>
      <c r="E38" s="35">
        <f>+'New Year-Full Year'!P34</f>
        <v>800</v>
      </c>
      <c r="F38" s="35">
        <f>+'New Year-Full Year'!Q34</f>
        <v>400</v>
      </c>
      <c r="G38" s="35">
        <f t="shared" si="6"/>
        <v>400</v>
      </c>
      <c r="H38" s="3">
        <f t="shared" si="7"/>
        <v>1</v>
      </c>
      <c r="J38" s="35">
        <f>+'New Year-Full Year'!U34</f>
        <v>0.83</v>
      </c>
      <c r="K38" s="35">
        <f>+'New Year-Full Year'!V34</f>
        <v>400</v>
      </c>
      <c r="L38" s="3">
        <f>IF(K38=0,"NA",(+J38-K38)/K38)</f>
        <v>-0.99792500000000006</v>
      </c>
    </row>
    <row r="39" spans="1:12" s="2" customFormat="1" x14ac:dyDescent="0.35">
      <c r="A39" s="40">
        <v>36</v>
      </c>
      <c r="B39" s="34" t="str">
        <f>+'New Year-Full Year'!B35</f>
        <v>Total Parish Ed</v>
      </c>
      <c r="C39" s="34"/>
      <c r="D39" s="34"/>
      <c r="E39" s="34">
        <f>SUM(E33:E38)</f>
        <v>3550</v>
      </c>
      <c r="F39" s="34">
        <f>SUM(F33:F38)</f>
        <v>3150</v>
      </c>
      <c r="G39" s="34">
        <f>SUM(G33:G38)</f>
        <v>400</v>
      </c>
      <c r="H39" s="19">
        <f t="shared" si="7"/>
        <v>0.12698412698412698</v>
      </c>
      <c r="J39" s="34">
        <f>SUM(J33:J38)</f>
        <v>1640.6899999999998</v>
      </c>
      <c r="K39" s="34">
        <f>SUM(K33:K38)</f>
        <v>3150</v>
      </c>
      <c r="L39" s="19">
        <f t="shared" si="8"/>
        <v>-0.47914603174603182</v>
      </c>
    </row>
    <row r="40" spans="1:12" ht="19.5" customHeight="1" x14ac:dyDescent="0.35">
      <c r="A40" s="40">
        <v>40</v>
      </c>
      <c r="B40" s="776" t="str">
        <f>+'New Year-Full Year'!B36</f>
        <v>Worship</v>
      </c>
      <c r="H40" s="36"/>
    </row>
    <row r="41" spans="1:12" x14ac:dyDescent="0.35">
      <c r="A41" s="40">
        <v>41</v>
      </c>
      <c r="C41" s="1" t="str">
        <f>+'New Year-Full Year'!C37</f>
        <v>Worship Supplies</v>
      </c>
      <c r="E41" s="35">
        <f>+'New Year-Full Year'!P37</f>
        <v>3000</v>
      </c>
      <c r="F41" s="35">
        <f>+'New Year-Full Year'!Q37</f>
        <v>3000</v>
      </c>
      <c r="G41" s="35">
        <f>+E41-F41</f>
        <v>0</v>
      </c>
      <c r="H41" s="3">
        <f>IF(F41=0,"NA",(+E41-F41)/F41)</f>
        <v>0</v>
      </c>
      <c r="J41" s="35">
        <f>+'New Year-Full Year'!U37</f>
        <v>2312.75</v>
      </c>
      <c r="K41" s="35">
        <f>+'New Year-Full Year'!V37</f>
        <v>3000</v>
      </c>
      <c r="L41" s="3">
        <f>IF(K41=0,"NA",(+J41-K41)/K41)</f>
        <v>-0.22908333333333333</v>
      </c>
    </row>
    <row r="42" spans="1:12" x14ac:dyDescent="0.35">
      <c r="A42" s="40">
        <v>44</v>
      </c>
      <c r="C42" s="1" t="str">
        <f>+'New Year-Full Year'!C38</f>
        <v>Flowers</v>
      </c>
      <c r="E42" s="35">
        <f>+'New Year-Full Year'!P38</f>
        <v>200</v>
      </c>
      <c r="F42" s="35">
        <f>+'New Year-Full Year'!Q38</f>
        <v>200</v>
      </c>
      <c r="G42" s="35">
        <f>+E42-F42</f>
        <v>0</v>
      </c>
      <c r="H42" s="3">
        <f>IF(F42=0,"NA",(+E42-F42)/F42)</f>
        <v>0</v>
      </c>
      <c r="J42" s="35">
        <f>+'New Year-Full Year'!U38</f>
        <v>88</v>
      </c>
      <c r="K42" s="35">
        <f>+'New Year-Full Year'!V38</f>
        <v>200</v>
      </c>
      <c r="L42" s="3">
        <f>IF(K42=0,"NA",(+J42-K42)/K42)</f>
        <v>-0.56000000000000005</v>
      </c>
    </row>
    <row r="43" spans="1:12" s="2" customFormat="1" x14ac:dyDescent="0.35">
      <c r="A43" s="40">
        <v>45</v>
      </c>
      <c r="B43" s="34" t="str">
        <f>+'New Year-Full Year'!B39</f>
        <v>Total Worship</v>
      </c>
      <c r="C43" s="34"/>
      <c r="D43" s="34"/>
      <c r="E43" s="34">
        <f>SUM(E41:E42)</f>
        <v>3200</v>
      </c>
      <c r="F43" s="34">
        <f>SUM(F41:F42)</f>
        <v>3200</v>
      </c>
      <c r="G43" s="34">
        <f>SUM(G41:G42)</f>
        <v>0</v>
      </c>
      <c r="H43" s="19">
        <f>IF(F43=0,"NA",(+E43-F43)/F43)</f>
        <v>0</v>
      </c>
      <c r="J43" s="34">
        <f>SUM(J41:J42)</f>
        <v>2400.75</v>
      </c>
      <c r="K43" s="34">
        <f>SUM(K41:K42)</f>
        <v>3200</v>
      </c>
      <c r="L43" s="19">
        <f>IF(K43=0,"NA",(+J43-K43)/K43)</f>
        <v>-0.24976562499999999</v>
      </c>
    </row>
    <row r="44" spans="1:12" ht="6.75" customHeight="1" x14ac:dyDescent="0.35">
      <c r="A44" s="40">
        <v>46</v>
      </c>
      <c r="H44" s="36"/>
    </row>
    <row r="45" spans="1:12" s="2" customFormat="1" x14ac:dyDescent="0.35">
      <c r="A45" s="40">
        <v>51</v>
      </c>
      <c r="B45" s="34" t="e">
        <f>+'New Year-Full Year'!#REF!</f>
        <v>#REF!</v>
      </c>
      <c r="C45" s="34"/>
      <c r="D45" s="34"/>
      <c r="E45" s="34">
        <f>+'New Year-Full Year'!P40</f>
        <v>3000</v>
      </c>
      <c r="F45" s="34">
        <f>+'New Year-Full Year'!Q40</f>
        <v>3000</v>
      </c>
      <c r="G45" s="34">
        <f>+E45-F45</f>
        <v>0</v>
      </c>
      <c r="H45" s="19">
        <f>IF(F45=0,"NA",(+E45-F45)/F45)</f>
        <v>0</v>
      </c>
      <c r="J45" s="34">
        <f>+'New Year-Full Year'!U40</f>
        <v>674.92</v>
      </c>
      <c r="K45" s="34">
        <f>+'New Year-Full Year'!V40</f>
        <v>3000</v>
      </c>
      <c r="L45" s="19">
        <f>IF(K45=0,"NA",(+J45-K45)/K45)</f>
        <v>-0.77502666666666664</v>
      </c>
    </row>
    <row r="46" spans="1:12" ht="19.5" customHeight="1" x14ac:dyDescent="0.35">
      <c r="A46" s="40">
        <v>53</v>
      </c>
      <c r="B46" s="776" t="e">
        <f>+'New Year-Full Year'!#REF!</f>
        <v>#REF!</v>
      </c>
      <c r="H46" s="36"/>
    </row>
    <row r="47" spans="1:12" x14ac:dyDescent="0.35">
      <c r="A47" s="40">
        <v>54</v>
      </c>
      <c r="C47" s="1" t="e">
        <f>+'New Year-Full Year'!#REF!</f>
        <v>#REF!</v>
      </c>
      <c r="E47" s="35" t="e">
        <f>+'New Year-Full Year'!#REF!</f>
        <v>#REF!</v>
      </c>
      <c r="F47" s="35" t="e">
        <f>+'New Year-Full Year'!#REF!</f>
        <v>#REF!</v>
      </c>
      <c r="G47" s="35" t="e">
        <f>+E47-F47</f>
        <v>#REF!</v>
      </c>
      <c r="H47" s="3" t="e">
        <f>IF(F47=0,"NA",(+E47-F47)/F47)</f>
        <v>#REF!</v>
      </c>
      <c r="J47" s="35" t="e">
        <f>+'New Year-Full Year'!#REF!</f>
        <v>#REF!</v>
      </c>
      <c r="K47" s="35" t="e">
        <f>+'New Year-Full Year'!#REF!</f>
        <v>#REF!</v>
      </c>
      <c r="L47" s="3" t="e">
        <f>IF(K47=0,"NA",(+J47-K47)/K47)</f>
        <v>#REF!</v>
      </c>
    </row>
    <row r="48" spans="1:12" s="2" customFormat="1" x14ac:dyDescent="0.35">
      <c r="A48" s="40">
        <v>56</v>
      </c>
      <c r="B48" s="34" t="e">
        <f>+'New Year-Full Year'!#REF!</f>
        <v>#REF!</v>
      </c>
      <c r="C48" s="34"/>
      <c r="D48" s="34"/>
      <c r="E48" s="34" t="e">
        <f>SUM(E47:E47)</f>
        <v>#REF!</v>
      </c>
      <c r="F48" s="34" t="e">
        <f>SUM(F47:F47)</f>
        <v>#REF!</v>
      </c>
      <c r="G48" s="34" t="e">
        <f>SUM(G47:G47)</f>
        <v>#REF!</v>
      </c>
      <c r="H48" s="19" t="e">
        <f>IF(F48=0,"NA",(+E48-F48)/F48)</f>
        <v>#REF!</v>
      </c>
      <c r="J48" s="34" t="e">
        <f>SUM(J47:J47)</f>
        <v>#REF!</v>
      </c>
      <c r="K48" s="34" t="e">
        <f>SUM(K47:K47)</f>
        <v>#REF!</v>
      </c>
      <c r="L48" s="19" t="e">
        <f>IF(K48=0,"NA",(+J48-K48)/K48)</f>
        <v>#REF!</v>
      </c>
    </row>
    <row r="49" spans="1:12" ht="5.25" customHeight="1" x14ac:dyDescent="0.35">
      <c r="A49" s="40">
        <v>57</v>
      </c>
      <c r="H49" s="36"/>
    </row>
    <row r="50" spans="1:12" x14ac:dyDescent="0.35">
      <c r="A50" s="40">
        <v>58</v>
      </c>
      <c r="B50" s="34" t="e">
        <f>+'New Year-Full Year'!#REF!</f>
        <v>#REF!</v>
      </c>
      <c r="C50" s="20"/>
      <c r="D50" s="20"/>
      <c r="E50" s="42">
        <f>+'New Year-Full Year'!P42</f>
        <v>200</v>
      </c>
      <c r="F50" s="42">
        <f>+'New Year-Full Year'!Q42</f>
        <v>200</v>
      </c>
      <c r="G50" s="34">
        <f>+E50-F50</f>
        <v>0</v>
      </c>
      <c r="H50" s="19">
        <f>IF(F50=0,"NA",(+E50-F50)/F50)</f>
        <v>0</v>
      </c>
      <c r="J50" s="42">
        <f>+'New Year-Full Year'!U42</f>
        <v>0</v>
      </c>
      <c r="K50" s="42">
        <f>+'New Year-Full Year'!V42</f>
        <v>200</v>
      </c>
      <c r="L50" s="19">
        <f>IF(K50=0,"NA",(+J50-K50)/K50)</f>
        <v>-1</v>
      </c>
    </row>
    <row r="51" spans="1:12" ht="19.5" customHeight="1" x14ac:dyDescent="0.35">
      <c r="A51" s="40">
        <v>60</v>
      </c>
      <c r="B51" s="776" t="str">
        <f>+'New Year-Full Year'!B43</f>
        <v>Misc Programs</v>
      </c>
      <c r="H51" s="36"/>
    </row>
    <row r="52" spans="1:12" x14ac:dyDescent="0.35">
      <c r="A52" s="40">
        <v>61</v>
      </c>
      <c r="C52" s="1" t="str">
        <f>+'New Year-Full Year'!C44</f>
        <v>Stewardship</v>
      </c>
      <c r="E52" s="35">
        <f>+'New Year-Full Year'!P44</f>
        <v>200</v>
      </c>
      <c r="F52" s="35">
        <f>+'New Year-Full Year'!Q44</f>
        <v>200</v>
      </c>
      <c r="G52" s="35">
        <f t="shared" ref="G52:G56" si="9">+E52-F52</f>
        <v>0</v>
      </c>
      <c r="H52" s="3">
        <f t="shared" ref="H52:H57" si="10">IF(F52=0,"NA",(+E52-F52)/F52)</f>
        <v>0</v>
      </c>
      <c r="J52" s="35">
        <f>+'New Year-Full Year'!U44</f>
        <v>0</v>
      </c>
      <c r="K52" s="35">
        <f>+'New Year-Full Year'!V44</f>
        <v>200</v>
      </c>
      <c r="L52" s="3">
        <f t="shared" ref="L52:L57" si="11">IF(K52=0,"NA",(+J52-K52)/K52)</f>
        <v>-1</v>
      </c>
    </row>
    <row r="53" spans="1:12" x14ac:dyDescent="0.35">
      <c r="A53" s="40">
        <v>62</v>
      </c>
      <c r="C53" s="1" t="str">
        <f>+'New Year-Full Year'!C47</f>
        <v>Envelopes, Giving</v>
      </c>
      <c r="E53" s="35">
        <f>+'New Year-Full Year'!P47</f>
        <v>300</v>
      </c>
      <c r="F53" s="35">
        <f>+'New Year-Full Year'!Q47</f>
        <v>300</v>
      </c>
      <c r="G53" s="35">
        <f t="shared" si="9"/>
        <v>0</v>
      </c>
      <c r="H53" s="3">
        <f t="shared" si="10"/>
        <v>0</v>
      </c>
      <c r="J53" s="35">
        <f>+'New Year-Full Year'!U47</f>
        <v>354.21</v>
      </c>
      <c r="K53" s="35">
        <f>+'New Year-Full Year'!V47</f>
        <v>300</v>
      </c>
      <c r="L53" s="3">
        <f t="shared" si="11"/>
        <v>0.18069999999999994</v>
      </c>
    </row>
    <row r="54" spans="1:12" x14ac:dyDescent="0.35">
      <c r="A54" s="40">
        <v>63</v>
      </c>
      <c r="C54" s="1" t="str">
        <f>+'New Year-Full Year'!C48</f>
        <v>Synod Assembly</v>
      </c>
      <c r="E54" s="35">
        <f>+'New Year-Full Year'!P48</f>
        <v>500</v>
      </c>
      <c r="F54" s="35">
        <f>+'New Year-Full Year'!Q48</f>
        <v>1000</v>
      </c>
      <c r="G54" s="35">
        <f t="shared" si="9"/>
        <v>-500</v>
      </c>
      <c r="H54" s="3">
        <f t="shared" si="10"/>
        <v>-0.5</v>
      </c>
      <c r="J54" s="35">
        <f>+'New Year-Full Year'!U48</f>
        <v>0</v>
      </c>
      <c r="K54" s="35">
        <f>+'New Year-Full Year'!V48</f>
        <v>1000</v>
      </c>
      <c r="L54" s="3">
        <f t="shared" si="11"/>
        <v>-1</v>
      </c>
    </row>
    <row r="55" spans="1:12" x14ac:dyDescent="0.35">
      <c r="C55" s="1" t="str">
        <f>+'New Year-Full Year'!C49</f>
        <v>Other Programs</v>
      </c>
      <c r="E55" s="35">
        <f>+'New Year-Full Year'!P49</f>
        <v>700</v>
      </c>
      <c r="F55" s="35">
        <f>+'New Year-Full Year'!Q49</f>
        <v>200</v>
      </c>
      <c r="G55" s="35">
        <f t="shared" si="9"/>
        <v>500</v>
      </c>
      <c r="H55" s="3">
        <f>IF(F55=0,"NA",(+E55-F55)/F55)</f>
        <v>2.5</v>
      </c>
      <c r="J55" s="35">
        <f>+'New Year-Full Year'!U49</f>
        <v>722.02</v>
      </c>
      <c r="K55" s="35">
        <f>+'New Year-Full Year'!V49</f>
        <v>200</v>
      </c>
      <c r="L55" s="3">
        <f>IF(K55=0,"NA",(+J55-K55)/K55)</f>
        <v>2.6101000000000001</v>
      </c>
    </row>
    <row r="56" spans="1:12" x14ac:dyDescent="0.35">
      <c r="A56" s="40">
        <v>65</v>
      </c>
      <c r="C56" s="1" t="str">
        <f>+'New Year-Full Year'!C50</f>
        <v>Organ/Piano Maintenance</v>
      </c>
      <c r="E56" s="35">
        <f>+'New Year-Full Year'!P50</f>
        <v>1484</v>
      </c>
      <c r="F56" s="35">
        <f>+'New Year-Full Year'!Q50</f>
        <v>1484</v>
      </c>
      <c r="G56" s="35">
        <f t="shared" si="9"/>
        <v>0</v>
      </c>
      <c r="H56" s="3">
        <f t="shared" si="10"/>
        <v>0</v>
      </c>
      <c r="J56" s="35">
        <f>+'New Year-Full Year'!U50</f>
        <v>120</v>
      </c>
      <c r="K56" s="35">
        <f>+'New Year-Full Year'!V50</f>
        <v>1484</v>
      </c>
      <c r="L56" s="3">
        <f t="shared" si="11"/>
        <v>-0.91913746630727766</v>
      </c>
    </row>
    <row r="57" spans="1:12" s="2" customFormat="1" x14ac:dyDescent="0.35">
      <c r="A57" s="40">
        <v>66</v>
      </c>
      <c r="B57" s="34" t="str">
        <f>+'New Year-Full Year'!B51</f>
        <v>Total Misc Programs</v>
      </c>
      <c r="C57" s="34"/>
      <c r="D57" s="34"/>
      <c r="E57" s="34">
        <f>SUM(E52:E56)</f>
        <v>3184</v>
      </c>
      <c r="F57" s="34">
        <f>SUM(F52:F56)</f>
        <v>3184</v>
      </c>
      <c r="G57" s="34">
        <f>SUM(G52:G56)</f>
        <v>0</v>
      </c>
      <c r="H57" s="19">
        <f t="shared" si="10"/>
        <v>0</v>
      </c>
      <c r="J57" s="34">
        <f>SUM(J52:J56)</f>
        <v>1196.23</v>
      </c>
      <c r="K57" s="34">
        <f>SUM(K52:K56)</f>
        <v>3184</v>
      </c>
      <c r="L57" s="19">
        <f t="shared" si="11"/>
        <v>-0.62429962311557785</v>
      </c>
    </row>
    <row r="58" spans="1:12" ht="19.5" customHeight="1" x14ac:dyDescent="0.35">
      <c r="A58" s="40">
        <v>68</v>
      </c>
      <c r="B58" s="776" t="str">
        <f>+'New Year-Full Year'!B52</f>
        <v>Office Expense</v>
      </c>
      <c r="H58" s="36"/>
    </row>
    <row r="59" spans="1:12" x14ac:dyDescent="0.35">
      <c r="A59" s="40">
        <v>69</v>
      </c>
      <c r="C59" s="1" t="str">
        <f>+'New Year-Full Year'!C53</f>
        <v>Office Supplies</v>
      </c>
      <c r="E59" s="35">
        <f>+'New Year-Full Year'!P53</f>
        <v>2000</v>
      </c>
      <c r="F59" s="35">
        <f>+'New Year-Full Year'!Q53</f>
        <v>2000</v>
      </c>
      <c r="G59" s="35">
        <f t="shared" ref="G59:G65" si="12">+E59-F59</f>
        <v>0</v>
      </c>
      <c r="H59" s="3">
        <f t="shared" ref="H59:H67" si="13">IF(F59=0,"NA",(+E59-F59)/F59)</f>
        <v>0</v>
      </c>
      <c r="J59" s="35">
        <f>+'New Year-Full Year'!U53</f>
        <v>1555.75</v>
      </c>
      <c r="K59" s="35">
        <f>+'New Year-Full Year'!V53</f>
        <v>2000</v>
      </c>
      <c r="L59" s="3">
        <f t="shared" ref="L59:L67" si="14">IF(K59=0,"NA",(+J59-K59)/K59)</f>
        <v>-0.22212499999999999</v>
      </c>
    </row>
    <row r="60" spans="1:12" x14ac:dyDescent="0.35">
      <c r="A60" s="40">
        <v>70</v>
      </c>
      <c r="C60" s="1" t="str">
        <f>+'New Year-Full Year'!C54</f>
        <v>Postage</v>
      </c>
      <c r="E60" s="35">
        <f>+'New Year-Full Year'!P54</f>
        <v>2000</v>
      </c>
      <c r="F60" s="35">
        <f>+'New Year-Full Year'!Q54</f>
        <v>2000</v>
      </c>
      <c r="G60" s="35">
        <f t="shared" si="12"/>
        <v>0</v>
      </c>
      <c r="H60" s="3">
        <f t="shared" si="13"/>
        <v>0</v>
      </c>
      <c r="J60" s="35">
        <f>+'New Year-Full Year'!U54</f>
        <v>1290</v>
      </c>
      <c r="K60" s="35">
        <f>+'New Year-Full Year'!V54</f>
        <v>2000</v>
      </c>
      <c r="L60" s="3">
        <f t="shared" si="14"/>
        <v>-0.35499999999999998</v>
      </c>
    </row>
    <row r="61" spans="1:12" x14ac:dyDescent="0.35">
      <c r="C61" s="1" t="str">
        <f>+'New Year-Full Year'!C55</f>
        <v>Technology</v>
      </c>
      <c r="E61" s="35">
        <f>+'New Year-Full Year'!P55</f>
        <v>9500</v>
      </c>
      <c r="F61" s="35">
        <f>+'New Year-Full Year'!Q55</f>
        <v>0</v>
      </c>
      <c r="G61" s="35">
        <f t="shared" ref="G61" si="15">+E61-F61</f>
        <v>9500</v>
      </c>
      <c r="H61" s="3" t="str">
        <f t="shared" ref="H61" si="16">IF(F61=0,"NA",(+E61-F61)/F61)</f>
        <v>NA</v>
      </c>
      <c r="J61" s="35">
        <f>+'New Year-Full Year'!U55</f>
        <v>0</v>
      </c>
      <c r="K61" s="35">
        <f>+'New Year-Full Year'!V55</f>
        <v>0</v>
      </c>
      <c r="L61" s="3" t="str">
        <f t="shared" ref="L61" si="17">IF(K61=0,"NA",(+J61-K61)/K61)</f>
        <v>NA</v>
      </c>
    </row>
    <row r="62" spans="1:12" x14ac:dyDescent="0.35">
      <c r="A62" s="40">
        <v>73</v>
      </c>
      <c r="C62" s="1" t="str">
        <f>+'New Year-Full Year'!C56</f>
        <v>Office Equipment/Computer</v>
      </c>
      <c r="E62" s="35">
        <f>+'New Year-Full Year'!P56</f>
        <v>8658.7999999999993</v>
      </c>
      <c r="F62" s="35">
        <f>+'New Year-Full Year'!Q56</f>
        <v>10800</v>
      </c>
      <c r="G62" s="35">
        <f t="shared" si="12"/>
        <v>-2141.2000000000007</v>
      </c>
      <c r="H62" s="3">
        <f t="shared" si="13"/>
        <v>-0.19825925925925933</v>
      </c>
      <c r="J62" s="35">
        <f>+'New Year-Full Year'!U56</f>
        <v>14802.29</v>
      </c>
      <c r="K62" s="35">
        <f>+'New Year-Full Year'!V56</f>
        <v>10800</v>
      </c>
      <c r="L62" s="3">
        <f t="shared" si="14"/>
        <v>0.3705824074074075</v>
      </c>
    </row>
    <row r="63" spans="1:12" x14ac:dyDescent="0.35">
      <c r="A63" s="40">
        <v>74</v>
      </c>
      <c r="C63" s="1" t="str">
        <f>+'New Year-Full Year'!C57</f>
        <v>Kitchen Supplies</v>
      </c>
      <c r="E63" s="35">
        <f>+'New Year-Full Year'!P57</f>
        <v>700</v>
      </c>
      <c r="F63" s="35">
        <f>+'New Year-Full Year'!Q57</f>
        <v>700</v>
      </c>
      <c r="G63" s="35">
        <f t="shared" si="12"/>
        <v>0</v>
      </c>
      <c r="H63" s="3">
        <f t="shared" si="13"/>
        <v>0</v>
      </c>
      <c r="J63" s="35">
        <f>+'New Year-Full Year'!U57</f>
        <v>181.44</v>
      </c>
      <c r="K63" s="35">
        <f>+'New Year-Full Year'!V57</f>
        <v>700</v>
      </c>
      <c r="L63" s="3">
        <f t="shared" si="14"/>
        <v>-0.7407999999999999</v>
      </c>
    </row>
    <row r="64" spans="1:12" x14ac:dyDescent="0.35">
      <c r="A64" s="40">
        <v>75</v>
      </c>
      <c r="C64" s="1" t="str">
        <f>+'New Year-Full Year'!C58</f>
        <v>Bank Fees</v>
      </c>
      <c r="E64" s="35">
        <f>+'New Year-Full Year'!P58</f>
        <v>2000</v>
      </c>
      <c r="F64" s="35">
        <f>+'New Year-Full Year'!Q58</f>
        <v>1700</v>
      </c>
      <c r="G64" s="35">
        <f t="shared" si="12"/>
        <v>300</v>
      </c>
      <c r="H64" s="3">
        <f t="shared" si="13"/>
        <v>0.17647058823529413</v>
      </c>
      <c r="J64" s="35">
        <f>+'New Year-Full Year'!U58</f>
        <v>2309.64</v>
      </c>
      <c r="K64" s="35">
        <f>+'New Year-Full Year'!V58</f>
        <v>1700</v>
      </c>
      <c r="L64" s="3">
        <f t="shared" si="14"/>
        <v>0.3586117647058823</v>
      </c>
    </row>
    <row r="65" spans="1:13" x14ac:dyDescent="0.35">
      <c r="A65" s="40">
        <v>76</v>
      </c>
      <c r="C65" s="1" t="str">
        <f>+'New Year-Full Year'!C59</f>
        <v>Professional Fees</v>
      </c>
      <c r="E65" s="35">
        <f>+'New Year-Full Year'!P59</f>
        <v>1000</v>
      </c>
      <c r="F65" s="35">
        <f>+'New Year-Full Year'!Q59</f>
        <v>1000</v>
      </c>
      <c r="G65" s="35">
        <f t="shared" si="12"/>
        <v>0</v>
      </c>
      <c r="H65" s="3">
        <f>IF(F65=0,"NA",(+E65-F65)/F65)</f>
        <v>0</v>
      </c>
      <c r="J65" s="35">
        <f>+'New Year-Full Year'!U59</f>
        <v>0</v>
      </c>
      <c r="K65" s="35">
        <f>+'New Year-Full Year'!V59</f>
        <v>1000</v>
      </c>
      <c r="L65" s="3">
        <f>IF(K65=0,"NA",(+J65-K65)/K65)</f>
        <v>-1</v>
      </c>
    </row>
    <row r="66" spans="1:13" s="2" customFormat="1" x14ac:dyDescent="0.35">
      <c r="A66" s="40">
        <v>76</v>
      </c>
      <c r="B66" s="34" t="str">
        <f>+'New Year-Full Year'!B60</f>
        <v>Total Office Expense</v>
      </c>
      <c r="C66" s="34"/>
      <c r="D66" s="34"/>
      <c r="E66" s="34">
        <f>SUM(E59:E65)</f>
        <v>25858.799999999999</v>
      </c>
      <c r="F66" s="34">
        <f>SUM(F59:F65)</f>
        <v>18200</v>
      </c>
      <c r="G66" s="34">
        <f>SUM(G59:G65)</f>
        <v>7658.7999999999993</v>
      </c>
      <c r="H66" s="19">
        <f t="shared" si="13"/>
        <v>0.42081318681318675</v>
      </c>
      <c r="J66" s="34">
        <f>SUM(J59:J65)</f>
        <v>20139.12</v>
      </c>
      <c r="K66" s="34">
        <f>SUM(K59:K65)</f>
        <v>18200</v>
      </c>
      <c r="L66" s="19">
        <f t="shared" si="14"/>
        <v>0.1065450549450549</v>
      </c>
    </row>
    <row r="67" spans="1:13" x14ac:dyDescent="0.35">
      <c r="A67" s="40">
        <v>77</v>
      </c>
      <c r="B67" s="34" t="str">
        <f>+'New Year-Full Year'!B61</f>
        <v>TOTAL PROGRAMS</v>
      </c>
      <c r="C67" s="21"/>
      <c r="D67" s="21"/>
      <c r="E67" s="34" t="e">
        <f>+E39+E43+E45+E50+E57+E66+E48</f>
        <v>#REF!</v>
      </c>
      <c r="F67" s="34" t="e">
        <f>+F39+F43+F45+F50+F57+F66+F48</f>
        <v>#REF!</v>
      </c>
      <c r="G67" s="34" t="e">
        <f>+G39+G43+G45+G50+G57+G66+G48</f>
        <v>#REF!</v>
      </c>
      <c r="H67" s="19" t="e">
        <f t="shared" si="13"/>
        <v>#REF!</v>
      </c>
      <c r="J67" s="34" t="e">
        <f>+J39+J43+J45+J50+J57+J66+J48</f>
        <v>#REF!</v>
      </c>
      <c r="K67" s="34" t="e">
        <f>+K39+K43+K45+K50+K57+K66+K48</f>
        <v>#REF!</v>
      </c>
      <c r="L67" s="19" t="e">
        <f t="shared" si="14"/>
        <v>#REF!</v>
      </c>
    </row>
    <row r="68" spans="1:13" ht="23" customHeight="1" x14ac:dyDescent="0.35">
      <c r="A68" s="40">
        <v>79</v>
      </c>
      <c r="B68" s="5" t="s">
        <v>32</v>
      </c>
      <c r="H68" s="36"/>
    </row>
    <row r="69" spans="1:13" hidden="1" x14ac:dyDescent="0.35">
      <c r="B69" s="2" t="s">
        <v>247</v>
      </c>
      <c r="H69" s="36"/>
    </row>
    <row r="70" spans="1:13" hidden="1" x14ac:dyDescent="0.35">
      <c r="A70" s="40">
        <v>81</v>
      </c>
      <c r="C70" s="1222" t="s">
        <v>303</v>
      </c>
      <c r="D70" s="1222"/>
      <c r="E70" s="35" t="e">
        <f>'New Year-Full Year'!P$83+'New Year-Full Year'!#REF!+'New Year-Full Year'!P$91+SUM('New Year-Full Year'!P$93:P$94)+SUM('New Year-Full Year'!#REF!)+'New Year-Full Year'!P$101</f>
        <v>#REF!</v>
      </c>
      <c r="F70" s="35" t="e">
        <f>'New Year-Full Year'!Q$83+'New Year-Full Year'!#REF!+'New Year-Full Year'!Q$91+SUM('New Year-Full Year'!Q$93:Q$94)+SUM('New Year-Full Year'!#REF!)+'New Year-Full Year'!Q$101</f>
        <v>#REF!</v>
      </c>
      <c r="G70" s="35" t="e">
        <f>+E70-F70</f>
        <v>#REF!</v>
      </c>
      <c r="H70" s="3" t="e">
        <f>IF(F70=0,"NA",(+E70-F70)/F70)</f>
        <v>#REF!</v>
      </c>
      <c r="J70" s="35" t="e">
        <f>'New Year-Full Year'!U$83+'New Year-Full Year'!#REF!+'New Year-Full Year'!U$91+SUM('New Year-Full Year'!U$93:U$94)+SUM('New Year-Full Year'!#REF!)+'New Year-Full Year'!U$101</f>
        <v>#REF!</v>
      </c>
      <c r="K70" s="35" t="e">
        <f>'New Year-Full Year'!V$83+'New Year-Full Year'!#REF!+'New Year-Full Year'!V$91+SUM('New Year-Full Year'!V$93:V$94)+SUM('New Year-Full Year'!#REF!)+'New Year-Full Year'!V$101</f>
        <v>#REF!</v>
      </c>
      <c r="L70" s="3" t="e">
        <f>IF(K70=0,"NA",(+J70-K70)/K70)</f>
        <v>#REF!</v>
      </c>
    </row>
    <row r="71" spans="1:13" hidden="1" x14ac:dyDescent="0.35">
      <c r="A71" s="40">
        <v>83</v>
      </c>
      <c r="C71" s="1" t="s">
        <v>93</v>
      </c>
      <c r="E71" s="35">
        <f>+'New Year-Full Year'!P96+'New Year-Full Year'!P97+'New Year-Full Year'!P99+'New Year-Full Year'!P100</f>
        <v>18117.5</v>
      </c>
      <c r="F71" s="35">
        <f>+'New Year-Full Year'!Q96+'New Year-Full Year'!Q97+'New Year-Full Year'!Q99+'New Year-Full Year'!Q100</f>
        <v>13885</v>
      </c>
      <c r="G71" s="35">
        <f>+E71-F71</f>
        <v>4232.5</v>
      </c>
      <c r="H71" s="3">
        <f>IF(F71=0,"NA",(+E71-F71)/F71)</f>
        <v>0.30482535109830755</v>
      </c>
      <c r="J71" s="35">
        <f>+'New Year-Full Year'!U96+'New Year-Full Year'!U97+'New Year-Full Year'!U99+'New Year-Full Year'!U100</f>
        <v>11623.35</v>
      </c>
      <c r="K71" s="35">
        <f>+'New Year-Full Year'!V96+'New Year-Full Year'!V97+'New Year-Full Year'!V99+'New Year-Full Year'!V100</f>
        <v>13885</v>
      </c>
      <c r="L71" s="3">
        <f>IF(K71=0,"NA",(+J71-K71)/K71)</f>
        <v>-0.16288440763413753</v>
      </c>
      <c r="M71" s="256"/>
    </row>
    <row r="72" spans="1:13" hidden="1" x14ac:dyDescent="0.35">
      <c r="B72" s="2" t="s">
        <v>248</v>
      </c>
      <c r="D72" s="2" t="s">
        <v>514</v>
      </c>
      <c r="E72" s="35"/>
      <c r="F72" s="35"/>
      <c r="G72" s="35"/>
      <c r="H72" s="3"/>
      <c r="J72" s="35"/>
      <c r="K72" s="35"/>
      <c r="L72" s="3"/>
      <c r="M72" s="256"/>
    </row>
    <row r="73" spans="1:13" hidden="1" x14ac:dyDescent="0.35">
      <c r="C73" s="1222" t="s">
        <v>249</v>
      </c>
      <c r="D73" s="1222"/>
      <c r="E73" s="35">
        <f>'New Year-Full Year'!P$84+'New Year-Full Year'!P$98++'New Year-Full Year'!P$64+SUM('New Year-Full Year'!P65:P71)</f>
        <v>120963.076</v>
      </c>
      <c r="F73" s="35">
        <f>'New Year-Full Year'!Q$84+'New Year-Full Year'!Q$98++'New Year-Full Year'!Q$64+SUM('New Year-Full Year'!Q65:Q71)</f>
        <v>43670</v>
      </c>
      <c r="G73" s="35">
        <f>+E73-F73</f>
        <v>77293.076000000001</v>
      </c>
      <c r="H73" s="3">
        <f>IF(F73=0,"NA",(+E73-F73)/F73)</f>
        <v>1.7699353331806733</v>
      </c>
      <c r="J73" s="35" t="e">
        <f>'New Year-Full Year'!#REF!+'New Year-Full Year'!U$98++'New Year-Full Year'!U$64+SUM('New Year-Full Year'!U65:U71)</f>
        <v>#REF!</v>
      </c>
      <c r="K73" s="35" t="e">
        <f>'New Year-Full Year'!#REF!+'New Year-Full Year'!V$98++'New Year-Full Year'!V$64+SUM('New Year-Full Year'!V65:V71)</f>
        <v>#REF!</v>
      </c>
      <c r="L73" s="3" t="e">
        <f>IF(K73=0,"NA",(+J73-K73)/K73)</f>
        <v>#REF!</v>
      </c>
      <c r="M73" s="256"/>
    </row>
    <row r="74" spans="1:13" s="2" customFormat="1" x14ac:dyDescent="0.35">
      <c r="A74" s="40">
        <v>86</v>
      </c>
      <c r="B74" s="22" t="s">
        <v>304</v>
      </c>
      <c r="C74" s="22"/>
      <c r="D74" s="22"/>
      <c r="E74" s="22" t="e">
        <f>SUM(E70:E73)</f>
        <v>#REF!</v>
      </c>
      <c r="F74" s="22" t="e">
        <f>SUM(F70:F73)</f>
        <v>#REF!</v>
      </c>
      <c r="G74" s="22" t="e">
        <f>+E74-F74</f>
        <v>#REF!</v>
      </c>
      <c r="H74" s="23" t="e">
        <f>IF(F74=0,"NA",(+E74-F74)/F74)</f>
        <v>#REF!</v>
      </c>
      <c r="J74" s="22" t="e">
        <f>SUM(J70:J73)</f>
        <v>#REF!</v>
      </c>
      <c r="K74" s="22" t="e">
        <f>SUM(K70:K73)</f>
        <v>#REF!</v>
      </c>
      <c r="L74" s="23" t="e">
        <f>IF(K74=0,"NA",(+J74-K74)/K74)</f>
        <v>#REF!</v>
      </c>
      <c r="M74" s="257"/>
    </row>
    <row r="75" spans="1:13" ht="23" customHeight="1" x14ac:dyDescent="0.35">
      <c r="A75" s="40">
        <v>130</v>
      </c>
      <c r="B75" s="5" t="str">
        <f>+'New Year-Full Year'!B104</f>
        <v>Facilities</v>
      </c>
      <c r="H75" s="36"/>
    </row>
    <row r="76" spans="1:13" ht="19.5" customHeight="1" x14ac:dyDescent="0.35">
      <c r="A76" s="40">
        <v>131</v>
      </c>
      <c r="B76" s="776" t="str">
        <f>+'New Year-Full Year'!B105</f>
        <v>Utilities</v>
      </c>
      <c r="H76" s="36"/>
    </row>
    <row r="77" spans="1:13" x14ac:dyDescent="0.35">
      <c r="A77" s="40">
        <v>132</v>
      </c>
      <c r="C77" s="1" t="str">
        <f>+'New Year-Full Year'!C106</f>
        <v>Electric</v>
      </c>
      <c r="E77" s="35">
        <f>+'New Year-Full Year'!P106</f>
        <v>13000</v>
      </c>
      <c r="F77" s="35">
        <f>+'New Year-Full Year'!Q106</f>
        <v>12000</v>
      </c>
      <c r="G77" s="35">
        <f t="shared" ref="G77:G82" si="18">+E77-F77</f>
        <v>1000</v>
      </c>
      <c r="H77" s="3">
        <f t="shared" ref="H77:H83" si="19">IF(F77=0,"NA",(+E77-F77)/F77)</f>
        <v>8.3333333333333329E-2</v>
      </c>
      <c r="J77" s="35">
        <f>+'New Year-Full Year'!U106</f>
        <v>12733.02</v>
      </c>
      <c r="K77" s="35">
        <f>+'New Year-Full Year'!V106</f>
        <v>12000</v>
      </c>
      <c r="L77" s="3">
        <f t="shared" ref="L77:L83" si="20">IF(K77=0,"NA",(+J77-K77)/K77)</f>
        <v>6.1085000000000035E-2</v>
      </c>
    </row>
    <row r="78" spans="1:13" x14ac:dyDescent="0.35">
      <c r="A78" s="40">
        <v>133</v>
      </c>
      <c r="C78" s="1" t="str">
        <f>+'New Year-Full Year'!C107</f>
        <v>Gas</v>
      </c>
      <c r="E78" s="35">
        <f>+'New Year-Full Year'!P107</f>
        <v>12000</v>
      </c>
      <c r="F78" s="35">
        <f>+'New Year-Full Year'!Q107</f>
        <v>8400</v>
      </c>
      <c r="G78" s="35">
        <f t="shared" si="18"/>
        <v>3600</v>
      </c>
      <c r="H78" s="3">
        <f t="shared" si="19"/>
        <v>0.42857142857142855</v>
      </c>
      <c r="J78" s="35">
        <f>+'New Year-Full Year'!U107</f>
        <v>12543.53</v>
      </c>
      <c r="K78" s="35">
        <f>+'New Year-Full Year'!V107</f>
        <v>8400</v>
      </c>
      <c r="L78" s="3">
        <f t="shared" si="20"/>
        <v>0.49327738095238105</v>
      </c>
    </row>
    <row r="79" spans="1:13" x14ac:dyDescent="0.35">
      <c r="A79" s="40">
        <v>134</v>
      </c>
      <c r="C79" s="1" t="str">
        <f>+'New Year-Full Year'!C108</f>
        <v>Telephone</v>
      </c>
      <c r="E79" s="35">
        <f>+'New Year-Full Year'!P108</f>
        <v>2256.8000000000002</v>
      </c>
      <c r="F79" s="35">
        <f>+'New Year-Full Year'!Q108</f>
        <v>5100</v>
      </c>
      <c r="G79" s="35">
        <f t="shared" si="18"/>
        <v>-2843.2</v>
      </c>
      <c r="H79" s="3">
        <f t="shared" si="19"/>
        <v>-0.55749019607843131</v>
      </c>
      <c r="J79" s="35">
        <f>+'New Year-Full Year'!U108</f>
        <v>6284.26</v>
      </c>
      <c r="K79" s="35">
        <f>+'New Year-Full Year'!V108</f>
        <v>5100</v>
      </c>
      <c r="L79" s="3">
        <f t="shared" si="20"/>
        <v>0.23220784313725495</v>
      </c>
    </row>
    <row r="80" spans="1:13" x14ac:dyDescent="0.35">
      <c r="A80" s="40">
        <v>135</v>
      </c>
      <c r="C80" s="1" t="str">
        <f>+'New Year-Full Year'!C109</f>
        <v>Water</v>
      </c>
      <c r="E80" s="35">
        <f>+'New Year-Full Year'!P109</f>
        <v>1800</v>
      </c>
      <c r="F80" s="35">
        <f>+'New Year-Full Year'!Q109</f>
        <v>1800</v>
      </c>
      <c r="G80" s="35">
        <f t="shared" si="18"/>
        <v>0</v>
      </c>
      <c r="H80" s="3">
        <f t="shared" si="19"/>
        <v>0</v>
      </c>
      <c r="J80" s="35">
        <f>+'New Year-Full Year'!U109</f>
        <v>1339.26</v>
      </c>
      <c r="K80" s="35">
        <f>+'New Year-Full Year'!V109</f>
        <v>1800</v>
      </c>
      <c r="L80" s="3">
        <f t="shared" si="20"/>
        <v>-0.25596666666666668</v>
      </c>
    </row>
    <row r="81" spans="1:12" x14ac:dyDescent="0.35">
      <c r="A81" s="40">
        <v>136</v>
      </c>
      <c r="C81" s="1" t="str">
        <f>+'New Year-Full Year'!C110</f>
        <v>Security</v>
      </c>
      <c r="E81" s="35">
        <f>+'New Year-Full Year'!P110</f>
        <v>350</v>
      </c>
      <c r="F81" s="35">
        <f>+'New Year-Full Year'!Q110</f>
        <v>350</v>
      </c>
      <c r="G81" s="35">
        <f t="shared" si="18"/>
        <v>0</v>
      </c>
      <c r="H81" s="3">
        <f t="shared" si="19"/>
        <v>0</v>
      </c>
      <c r="J81" s="35">
        <f>+'New Year-Full Year'!U110</f>
        <v>313.39999999999998</v>
      </c>
      <c r="K81" s="35">
        <f>+'New Year-Full Year'!V110</f>
        <v>350</v>
      </c>
      <c r="L81" s="3">
        <f t="shared" si="20"/>
        <v>-0.10457142857142863</v>
      </c>
    </row>
    <row r="82" spans="1:12" x14ac:dyDescent="0.35">
      <c r="A82" s="40">
        <v>138</v>
      </c>
      <c r="C82" s="1" t="str">
        <f>+'New Year-Full Year'!C111</f>
        <v>City Assessment</v>
      </c>
      <c r="E82" s="35">
        <f>+'New Year-Full Year'!P111</f>
        <v>7000</v>
      </c>
      <c r="F82" s="35">
        <f>+'New Year-Full Year'!Q111</f>
        <v>7000</v>
      </c>
      <c r="G82" s="35">
        <f t="shared" si="18"/>
        <v>0</v>
      </c>
      <c r="H82" s="3">
        <f t="shared" si="19"/>
        <v>0</v>
      </c>
      <c r="J82" s="35">
        <f>+'New Year-Full Year'!U111</f>
        <v>6438.88</v>
      </c>
      <c r="K82" s="35">
        <f>+'New Year-Full Year'!V111</f>
        <v>7000</v>
      </c>
      <c r="L82" s="3">
        <f t="shared" si="20"/>
        <v>-8.0159999999999981E-2</v>
      </c>
    </row>
    <row r="83" spans="1:12" s="2" customFormat="1" x14ac:dyDescent="0.35">
      <c r="A83" s="40">
        <v>139</v>
      </c>
      <c r="B83" s="25" t="str">
        <f>+'New Year-Full Year'!B112</f>
        <v>Total Utilities</v>
      </c>
      <c r="C83" s="25"/>
      <c r="D83" s="25"/>
      <c r="E83" s="25">
        <f>SUM(E77:E82)</f>
        <v>36406.800000000003</v>
      </c>
      <c r="F83" s="25">
        <f>SUM(F77:F82)</f>
        <v>34650</v>
      </c>
      <c r="G83" s="25">
        <f>SUM(G77:G82)</f>
        <v>1756.8000000000002</v>
      </c>
      <c r="H83" s="26">
        <f t="shared" si="19"/>
        <v>5.0701298701298789E-2</v>
      </c>
      <c r="J83" s="25">
        <f>SUM(J77:J82)</f>
        <v>39652.350000000006</v>
      </c>
      <c r="K83" s="25">
        <f>SUM(K77:K82)</f>
        <v>34650</v>
      </c>
      <c r="L83" s="26">
        <f t="shared" si="20"/>
        <v>0.14436796536796553</v>
      </c>
    </row>
    <row r="84" spans="1:12" ht="19.5" customHeight="1" x14ac:dyDescent="0.35">
      <c r="A84" s="40">
        <v>141</v>
      </c>
      <c r="B84" s="776" t="str">
        <f>+'New Year-Full Year'!B113</f>
        <v>Church Maintenance</v>
      </c>
      <c r="H84" s="36"/>
    </row>
    <row r="85" spans="1:12" x14ac:dyDescent="0.35">
      <c r="A85" s="40">
        <v>142</v>
      </c>
      <c r="C85" s="1" t="str">
        <f>+'New Year-Full Year'!C114</f>
        <v>Insurance</v>
      </c>
      <c r="E85" s="35">
        <f>+'New Year-Full Year'!P114</f>
        <v>14000</v>
      </c>
      <c r="F85" s="35">
        <f>+'New Year-Full Year'!Q114</f>
        <v>14000</v>
      </c>
      <c r="G85" s="35">
        <f>+E85-F85</f>
        <v>0</v>
      </c>
      <c r="H85" s="3">
        <f t="shared" ref="H85:H92" si="21">IF(F85=0,"NA",(+E85-F85)/F85)</f>
        <v>0</v>
      </c>
      <c r="J85" s="35">
        <f>+'New Year-Full Year'!U114</f>
        <v>14371.5</v>
      </c>
      <c r="K85" s="35">
        <f>+'New Year-Full Year'!V114</f>
        <v>14000</v>
      </c>
      <c r="L85" s="3">
        <f t="shared" ref="L85:L92" si="22">IF(K85=0,"NA",(+J85-K85)/K85)</f>
        <v>2.6535714285714284E-2</v>
      </c>
    </row>
    <row r="86" spans="1:12" x14ac:dyDescent="0.35">
      <c r="A86" s="40">
        <v>143</v>
      </c>
      <c r="C86" s="1" t="str">
        <f>+'New Year-Full Year'!C115</f>
        <v>Snow Removal</v>
      </c>
      <c r="E86" s="35">
        <f>+'New Year-Full Year'!P115</f>
        <v>6000</v>
      </c>
      <c r="F86" s="35">
        <f>+'New Year-Full Year'!Q115</f>
        <v>6000</v>
      </c>
      <c r="G86" s="35">
        <f>+E86-F86</f>
        <v>0</v>
      </c>
      <c r="H86" s="3">
        <f t="shared" si="21"/>
        <v>0</v>
      </c>
      <c r="J86" s="35">
        <f>+'New Year-Full Year'!U115</f>
        <v>3118</v>
      </c>
      <c r="K86" s="35">
        <f>+'New Year-Full Year'!V115</f>
        <v>6000</v>
      </c>
      <c r="L86" s="3">
        <f t="shared" si="22"/>
        <v>-0.48033333333333333</v>
      </c>
    </row>
    <row r="87" spans="1:12" x14ac:dyDescent="0.35">
      <c r="A87" s="40">
        <v>144</v>
      </c>
      <c r="C87" s="1" t="str">
        <f>+'New Year-Full Year'!C116</f>
        <v>Maint.  Supplies</v>
      </c>
      <c r="E87" s="35">
        <f>+'New Year-Full Year'!P116</f>
        <v>4500</v>
      </c>
      <c r="F87" s="35">
        <f>+'New Year-Full Year'!Q116</f>
        <v>4500</v>
      </c>
      <c r="G87" s="35">
        <f>+E87-F87</f>
        <v>0</v>
      </c>
      <c r="H87" s="3">
        <f t="shared" si="21"/>
        <v>0</v>
      </c>
      <c r="J87" s="35">
        <f>+'New Year-Full Year'!U116</f>
        <v>3952.14</v>
      </c>
      <c r="K87" s="35">
        <f>+'New Year-Full Year'!V116</f>
        <v>4500</v>
      </c>
      <c r="L87" s="3">
        <f t="shared" si="22"/>
        <v>-0.1217466666666667</v>
      </c>
    </row>
    <row r="88" spans="1:12" ht="15" customHeight="1" x14ac:dyDescent="0.35">
      <c r="A88" s="40">
        <v>145</v>
      </c>
      <c r="C88" s="1" t="str">
        <f>+'New Year-Full Year'!C117</f>
        <v>Maintenance Contracts</v>
      </c>
      <c r="D88" s="52"/>
      <c r="E88" s="35">
        <f>+'New Year-Full Year'!P117</f>
        <v>6000</v>
      </c>
      <c r="F88" s="35">
        <f>+'New Year-Full Year'!Q117</f>
        <v>6000</v>
      </c>
      <c r="G88" s="35">
        <f>+E88-F88</f>
        <v>0</v>
      </c>
      <c r="H88" s="3">
        <f t="shared" si="21"/>
        <v>0</v>
      </c>
      <c r="J88" s="35">
        <f>+'New Year-Full Year'!U117</f>
        <v>5965.4</v>
      </c>
      <c r="K88" s="35">
        <f>+'New Year-Full Year'!V117</f>
        <v>6000</v>
      </c>
      <c r="L88" s="3">
        <f t="shared" si="22"/>
        <v>-5.7666666666667272E-3</v>
      </c>
    </row>
    <row r="89" spans="1:12" x14ac:dyDescent="0.35">
      <c r="A89" s="40">
        <v>146</v>
      </c>
      <c r="C89" s="1" t="str">
        <f>+'New Year-Full Year'!C118</f>
        <v>Building Repairs</v>
      </c>
      <c r="E89" s="35">
        <f>+'New Year-Full Year'!P118</f>
        <v>10000</v>
      </c>
      <c r="F89" s="35">
        <f>+'New Year-Full Year'!Q118</f>
        <v>10000</v>
      </c>
      <c r="G89" s="35">
        <f>+E89-F89</f>
        <v>0</v>
      </c>
      <c r="H89" s="3">
        <f t="shared" si="21"/>
        <v>0</v>
      </c>
      <c r="J89" s="35">
        <f>+'New Year-Full Year'!U118</f>
        <v>4113.93</v>
      </c>
      <c r="K89" s="35">
        <f>+'New Year-Full Year'!V118</f>
        <v>10000</v>
      </c>
      <c r="L89" s="3">
        <f t="shared" si="22"/>
        <v>-0.58860699999999999</v>
      </c>
    </row>
    <row r="90" spans="1:12" hidden="1" x14ac:dyDescent="0.35">
      <c r="A90" s="40">
        <v>149</v>
      </c>
      <c r="C90" s="1" t="e">
        <f>+'New Year-Full Year'!#REF!</f>
        <v>#REF!</v>
      </c>
      <c r="E90" s="35" t="e">
        <f>+'New Year-Full Year'!#REF!</f>
        <v>#REF!</v>
      </c>
      <c r="F90" s="35" t="e">
        <f>+'New Year-Full Year'!#REF!</f>
        <v>#REF!</v>
      </c>
      <c r="G90" s="35"/>
      <c r="H90" s="3" t="e">
        <f t="shared" si="21"/>
        <v>#REF!</v>
      </c>
      <c r="J90" s="35" t="e">
        <f>+'New Year-Full Year'!#REF!</f>
        <v>#REF!</v>
      </c>
      <c r="K90" s="35" t="e">
        <f>+'New Year-Full Year'!#REF!</f>
        <v>#REF!</v>
      </c>
      <c r="L90" s="3" t="e">
        <f t="shared" si="22"/>
        <v>#REF!</v>
      </c>
    </row>
    <row r="91" spans="1:12" s="2" customFormat="1" x14ac:dyDescent="0.35">
      <c r="A91" s="40">
        <v>150</v>
      </c>
      <c r="B91" s="25" t="str">
        <f>+'New Year-Full Year'!B119</f>
        <v>Total Church Maintenance</v>
      </c>
      <c r="C91" s="25"/>
      <c r="D91" s="25"/>
      <c r="E91" s="25" t="e">
        <f>SUM(E85:E90)</f>
        <v>#REF!</v>
      </c>
      <c r="F91" s="25" t="e">
        <f>SUM(F85:F90)</f>
        <v>#REF!</v>
      </c>
      <c r="G91" s="25">
        <f>SUM(G85:G90)</f>
        <v>0</v>
      </c>
      <c r="H91" s="26" t="e">
        <f t="shared" si="21"/>
        <v>#REF!</v>
      </c>
      <c r="J91" s="25" t="e">
        <f>SUM(J85:J90)</f>
        <v>#REF!</v>
      </c>
      <c r="K91" s="25" t="e">
        <f>SUM(K85:K90)</f>
        <v>#REF!</v>
      </c>
      <c r="L91" s="26" t="e">
        <f t="shared" si="22"/>
        <v>#REF!</v>
      </c>
    </row>
    <row r="92" spans="1:12" x14ac:dyDescent="0.35">
      <c r="A92" s="40">
        <v>151</v>
      </c>
      <c r="B92" s="25" t="str">
        <f>+'New Year-Full Year'!B120</f>
        <v>TOTAL FACILITIES</v>
      </c>
      <c r="C92" s="25"/>
      <c r="D92" s="25"/>
      <c r="E92" s="25" t="e">
        <f>+E83+E91</f>
        <v>#REF!</v>
      </c>
      <c r="F92" s="25" t="e">
        <f>+F83+F91</f>
        <v>#REF!</v>
      </c>
      <c r="G92" s="25">
        <f>+G83+G91</f>
        <v>1756.8000000000002</v>
      </c>
      <c r="H92" s="26" t="e">
        <f t="shared" si="21"/>
        <v>#REF!</v>
      </c>
      <c r="J92" s="25" t="e">
        <f>+J83+J91</f>
        <v>#REF!</v>
      </c>
      <c r="K92" s="25" t="e">
        <f>+K83+K91</f>
        <v>#REF!</v>
      </c>
      <c r="L92" s="26" t="e">
        <f t="shared" si="22"/>
        <v>#REF!</v>
      </c>
    </row>
    <row r="93" spans="1:12" ht="23" customHeight="1" x14ac:dyDescent="0.35">
      <c r="A93" s="40">
        <v>154</v>
      </c>
      <c r="B93" s="700" t="str">
        <f>+'New Year-Full Year'!B121</f>
        <v>Restricted Funds</v>
      </c>
      <c r="H93" s="36"/>
    </row>
    <row r="94" spans="1:12" ht="14.5" customHeight="1" x14ac:dyDescent="0.35">
      <c r="B94" s="700"/>
      <c r="C94" s="1" t="str">
        <f>'New Year-Full Year'!C122</f>
        <v>Misc. Expense</v>
      </c>
      <c r="E94" s="35">
        <f>SUM('New Year-Full Year'!P122:P122)</f>
        <v>0</v>
      </c>
      <c r="F94" s="35">
        <f>SUM('New Year-Full Year'!Q122:Q122)</f>
        <v>0</v>
      </c>
      <c r="G94" s="35">
        <f t="shared" ref="G94:G99" si="23">+E94-F94</f>
        <v>0</v>
      </c>
      <c r="H94" s="3" t="str">
        <f>IF(F94=0,"NA",(+E94-F94)/F94)</f>
        <v>NA</v>
      </c>
      <c r="J94" s="35">
        <f>SUM('New Year-Full Year'!U122:U122)</f>
        <v>18949.990000000002</v>
      </c>
      <c r="K94" s="35">
        <f>SUM('New Year-Full Year'!V122:V122)</f>
        <v>0</v>
      </c>
      <c r="L94" s="3" t="str">
        <f>IF(K94=0,"NA",(+J94-K94)/K94)</f>
        <v>NA</v>
      </c>
    </row>
    <row r="95" spans="1:12" x14ac:dyDescent="0.35">
      <c r="A95" s="40">
        <v>155</v>
      </c>
      <c r="C95" s="1" t="str">
        <f>'New Year-Full Year'!C123</f>
        <v>Operating Fund Reserve</v>
      </c>
      <c r="E95" s="35">
        <f>SUM('New Year-Full Year'!P123:P123)</f>
        <v>0</v>
      </c>
      <c r="F95" s="35">
        <f>SUM('New Year-Full Year'!Q123:Q123)</f>
        <v>0</v>
      </c>
      <c r="G95" s="35">
        <f t="shared" si="23"/>
        <v>0</v>
      </c>
      <c r="H95" s="3" t="str">
        <f t="shared" ref="H95:H101" si="24">IF(F95=0,"NA",(+E95-F95)/F95)</f>
        <v>NA</v>
      </c>
      <c r="J95" s="35">
        <f>SUM('New Year-Full Year'!U123:U123)</f>
        <v>0</v>
      </c>
      <c r="K95" s="35">
        <f>SUM('New Year-Full Year'!V123:V123)</f>
        <v>0</v>
      </c>
      <c r="L95" s="3" t="str">
        <f t="shared" ref="L95:L101" si="25">IF(K95=0,"NA",(+J95-K95)/K95)</f>
        <v>NA</v>
      </c>
    </row>
    <row r="96" spans="1:12" hidden="1" x14ac:dyDescent="0.35">
      <c r="C96" s="1" t="str">
        <f>'New Year-Full Year'!C124</f>
        <v>Pastor Transition</v>
      </c>
      <c r="E96" s="35">
        <f>SUM('New Year-Full Year'!P124:P124)</f>
        <v>0</v>
      </c>
      <c r="F96" s="35">
        <f>SUM('New Year-Full Year'!Q124:Q124)</f>
        <v>0</v>
      </c>
      <c r="G96" s="35">
        <f t="shared" si="23"/>
        <v>0</v>
      </c>
      <c r="H96" s="3" t="str">
        <f>IF(F96=0,"NA",(+E96-F96)/F96)</f>
        <v>NA</v>
      </c>
      <c r="J96" s="35">
        <f>SUM('New Year-Full Year'!U124:U124)</f>
        <v>0</v>
      </c>
      <c r="K96" s="35">
        <f>SUM('New Year-Full Year'!V124:V124)</f>
        <v>0</v>
      </c>
      <c r="L96" s="3" t="str">
        <f>IF(K96=0,"NA",(+J96-K96)/K96)</f>
        <v>NA</v>
      </c>
    </row>
    <row r="97" spans="1:12" ht="14.5" customHeight="1" x14ac:dyDescent="0.35">
      <c r="A97" s="40">
        <v>156</v>
      </c>
      <c r="C97" s="1" t="str">
        <f>'New Year-Full Year'!C125</f>
        <v>Facilities Fund Reserve</v>
      </c>
      <c r="E97" s="35">
        <f>+'New Year-Full Year'!P125</f>
        <v>0</v>
      </c>
      <c r="F97" s="35">
        <f>+'New Year-Full Year'!Q125</f>
        <v>0</v>
      </c>
      <c r="G97" s="35">
        <f t="shared" si="23"/>
        <v>0</v>
      </c>
      <c r="H97" s="3" t="str">
        <f t="shared" si="24"/>
        <v>NA</v>
      </c>
      <c r="J97" s="35">
        <f>+'New Year-Full Year'!U125</f>
        <v>61102.28</v>
      </c>
      <c r="K97" s="35">
        <f>+'New Year-Full Year'!V125</f>
        <v>0</v>
      </c>
      <c r="L97" s="3" t="str">
        <f t="shared" si="25"/>
        <v>NA</v>
      </c>
    </row>
    <row r="98" spans="1:12" ht="14.5" hidden="1" customHeight="1" x14ac:dyDescent="0.35">
      <c r="A98" s="40">
        <v>157</v>
      </c>
      <c r="C98" s="1" t="str">
        <f>'New Year-Full Year'!C126</f>
        <v>Facilities Maintenance</v>
      </c>
      <c r="E98" s="35">
        <f>+'New Year-Full Year'!P126</f>
        <v>0</v>
      </c>
      <c r="F98" s="35">
        <f>+'New Year-Full Year'!Q126</f>
        <v>0</v>
      </c>
      <c r="G98" s="35">
        <f t="shared" si="23"/>
        <v>0</v>
      </c>
      <c r="H98" s="3" t="str">
        <f t="shared" si="24"/>
        <v>NA</v>
      </c>
      <c r="J98" s="35">
        <f>+'New Year-Full Year'!U126</f>
        <v>0</v>
      </c>
      <c r="K98" s="35">
        <f>+'New Year-Full Year'!V126</f>
        <v>0</v>
      </c>
      <c r="L98" s="699" t="s">
        <v>373</v>
      </c>
    </row>
    <row r="99" spans="1:12" x14ac:dyDescent="0.35">
      <c r="C99" s="1" t="s">
        <v>133</v>
      </c>
      <c r="E99" s="35">
        <f>+'New Year-Full Year'!P127</f>
        <v>0</v>
      </c>
      <c r="F99" s="35">
        <f>+'New Year-Full Year'!Q127</f>
        <v>0</v>
      </c>
      <c r="G99" s="35">
        <f t="shared" si="23"/>
        <v>0</v>
      </c>
      <c r="H99" s="3" t="str">
        <f t="shared" si="24"/>
        <v>NA</v>
      </c>
      <c r="J99" s="35">
        <f>+'New Year-Full Year'!U127</f>
        <v>0</v>
      </c>
      <c r="K99" s="35">
        <f>+'New Year-Full Year'!V127</f>
        <v>0</v>
      </c>
      <c r="L99" s="3" t="str">
        <f t="shared" si="25"/>
        <v>NA</v>
      </c>
    </row>
    <row r="100" spans="1:12" hidden="1" x14ac:dyDescent="0.35">
      <c r="A100" s="40">
        <v>158</v>
      </c>
      <c r="C100" s="1" t="str">
        <f>'New Year-Full Year'!C128</f>
        <v>Line of Credit Payment</v>
      </c>
      <c r="E100" s="35">
        <f>+'New Year-Full Year'!P128</f>
        <v>0</v>
      </c>
      <c r="F100" s="35">
        <f>+'New Year-Full Year'!Q128</f>
        <v>0</v>
      </c>
      <c r="G100" s="35"/>
      <c r="H100" s="3" t="str">
        <f t="shared" si="24"/>
        <v>NA</v>
      </c>
      <c r="J100" s="35">
        <f>+'New Year-Full Year'!U128</f>
        <v>0</v>
      </c>
      <c r="K100" s="35">
        <f>+'New Year-Full Year'!V128</f>
        <v>0</v>
      </c>
      <c r="L100" s="3" t="str">
        <f t="shared" si="25"/>
        <v>NA</v>
      </c>
    </row>
    <row r="101" spans="1:12" s="2" customFormat="1" x14ac:dyDescent="0.35">
      <c r="A101" s="40">
        <v>159</v>
      </c>
      <c r="B101" s="27" t="str">
        <f>+'New Year-Full Year'!B129</f>
        <v>Total Restricted Funds</v>
      </c>
      <c r="C101" s="27"/>
      <c r="D101" s="27"/>
      <c r="E101" s="27">
        <f>SUM(E94:E100)</f>
        <v>0</v>
      </c>
      <c r="F101" s="27">
        <f>SUM(F94:F100)</f>
        <v>0</v>
      </c>
      <c r="G101" s="27">
        <f>SUM(G94:G100)</f>
        <v>0</v>
      </c>
      <c r="H101" s="28" t="str">
        <f t="shared" si="24"/>
        <v>NA</v>
      </c>
      <c r="J101" s="27">
        <f>SUM(J94:J100)</f>
        <v>80052.27</v>
      </c>
      <c r="K101" s="27">
        <f>SUM(K94:K100)</f>
        <v>0</v>
      </c>
      <c r="L101" s="28" t="str">
        <f t="shared" si="25"/>
        <v>NA</v>
      </c>
    </row>
    <row r="102" spans="1:12" ht="7.5" customHeight="1" x14ac:dyDescent="0.35">
      <c r="A102" s="40">
        <v>160</v>
      </c>
      <c r="H102" s="36"/>
    </row>
    <row r="103" spans="1:12" x14ac:dyDescent="0.35">
      <c r="A103" s="40">
        <v>161</v>
      </c>
      <c r="B103" s="29" t="str">
        <f>+'New Year-Full Year'!B131</f>
        <v>TOTAL EXPENSES</v>
      </c>
      <c r="C103" s="30"/>
      <c r="D103" s="30"/>
      <c r="E103" s="29" t="e">
        <f>+E67+E92+E101+E30+E74</f>
        <v>#REF!</v>
      </c>
      <c r="F103" s="29" t="e">
        <f>+F67+F92+F101+F30+F74</f>
        <v>#REF!</v>
      </c>
      <c r="G103" s="29" t="e">
        <f>+G67+G92+G101+G30+G74</f>
        <v>#REF!</v>
      </c>
      <c r="H103" s="31" t="e">
        <f>IF(F103=0,"NA",(+E103-F103)/F103)</f>
        <v>#REF!</v>
      </c>
      <c r="J103" s="29" t="e">
        <f>+J67+J92+J101+J30+J74</f>
        <v>#REF!</v>
      </c>
      <c r="K103" s="29" t="e">
        <f>+K67+K92+K101+K30+K74</f>
        <v>#REF!</v>
      </c>
      <c r="L103" s="31" t="e">
        <f>IF(K103=0,"NA",(+J103-K103)/K103)</f>
        <v>#REF!</v>
      </c>
    </row>
    <row r="104" spans="1:12" x14ac:dyDescent="0.35">
      <c r="A104" s="40">
        <v>162</v>
      </c>
      <c r="B104" s="29" t="str">
        <f>+'New Year-Full Year'!B132</f>
        <v>Income less Expense</v>
      </c>
      <c r="C104" s="30"/>
      <c r="D104" s="30"/>
      <c r="E104" s="29" t="e">
        <f>ROUND(E18-E103,0)</f>
        <v>#REF!</v>
      </c>
      <c r="F104" s="29" t="e">
        <f>ROUND(F18-F103,0)</f>
        <v>#REF!</v>
      </c>
      <c r="G104" s="29" t="e">
        <f>ROUND(G18-G103,0)</f>
        <v>#REF!</v>
      </c>
      <c r="H104" s="31" t="e">
        <f>IF(F104=0,"NA",(+E104-F104)/F104)</f>
        <v>#REF!</v>
      </c>
      <c r="J104" s="29" t="e">
        <f>ROUND(J18-J103,0)</f>
        <v>#REF!</v>
      </c>
      <c r="K104" s="29" t="e">
        <f>ROUND(K18-K103,0)</f>
        <v>#REF!</v>
      </c>
      <c r="L104" s="31" t="e">
        <f>IF(K104=0,"NA",(+J104-K104)/K104)</f>
        <v>#REF!</v>
      </c>
    </row>
    <row r="105" spans="1:12" ht="7.25" customHeight="1" x14ac:dyDescent="0.35">
      <c r="H105" s="36"/>
    </row>
    <row r="106" spans="1:12" hidden="1" x14ac:dyDescent="0.35">
      <c r="B106" s="75" t="str">
        <f>+'New Year-Full Year'!B134</f>
        <v>Operating Income</v>
      </c>
      <c r="C106" s="76"/>
      <c r="D106" s="76"/>
      <c r="E106" s="91" t="e">
        <f>+E18-E16</f>
        <v>#REF!</v>
      </c>
      <c r="F106" s="91" t="e">
        <f>+F18-F16</f>
        <v>#REF!</v>
      </c>
      <c r="G106" s="91" t="e">
        <f>+G18-G16</f>
        <v>#REF!</v>
      </c>
      <c r="H106" s="80" t="e">
        <f>IF(F106=0,"NA",(+E106-F106)/F106)</f>
        <v>#REF!</v>
      </c>
      <c r="I106" s="77"/>
      <c r="J106" s="91" t="e">
        <f>+J18-J16</f>
        <v>#REF!</v>
      </c>
      <c r="K106" s="91" t="e">
        <f>+K18-K16</f>
        <v>#REF!</v>
      </c>
      <c r="L106" s="81" t="e">
        <f>IF(K106=0,"NA",(+J106-K106)/K106)</f>
        <v>#REF!</v>
      </c>
    </row>
    <row r="107" spans="1:12" hidden="1" x14ac:dyDescent="0.35">
      <c r="B107" s="82" t="str">
        <f>+'New Year-Full Year'!B135</f>
        <v>Operating Expenses</v>
      </c>
      <c r="C107" s="70"/>
      <c r="D107" s="70"/>
      <c r="E107" s="92" t="e">
        <f>+E103-E101</f>
        <v>#REF!</v>
      </c>
      <c r="F107" s="92" t="e">
        <f>+F103-F101</f>
        <v>#REF!</v>
      </c>
      <c r="G107" s="92" t="e">
        <f>+G103-G101</f>
        <v>#REF!</v>
      </c>
      <c r="H107" s="74" t="e">
        <f>IF(F107=0,"NA",(+E107-F107)/F107)</f>
        <v>#REF!</v>
      </c>
      <c r="I107" s="71"/>
      <c r="J107" s="92" t="e">
        <f>+J103-J101</f>
        <v>#REF!</v>
      </c>
      <c r="K107" s="92" t="e">
        <f>+K103-K101</f>
        <v>#REF!</v>
      </c>
      <c r="L107" s="83" t="e">
        <f>IF(K107=0,"NA",(+J107-K107)/K107)</f>
        <v>#REF!</v>
      </c>
    </row>
    <row r="108" spans="1:12" ht="15" hidden="1" thickBot="1" x14ac:dyDescent="0.4">
      <c r="B108" s="84" t="str">
        <f>+'New Year-Full Year'!B136</f>
        <v>Net Operating Income/(Loss)</v>
      </c>
      <c r="C108" s="85"/>
      <c r="D108" s="85"/>
      <c r="E108" s="93" t="e">
        <f>+E106-E107</f>
        <v>#REF!</v>
      </c>
      <c r="F108" s="93" t="e">
        <f>+F106-F107</f>
        <v>#REF!</v>
      </c>
      <c r="G108" s="93" t="e">
        <f>+G106-G107</f>
        <v>#REF!</v>
      </c>
      <c r="H108" s="698" t="s">
        <v>373</v>
      </c>
      <c r="I108" s="87"/>
      <c r="J108" s="93" t="e">
        <f>+J106-J107</f>
        <v>#REF!</v>
      </c>
      <c r="K108" s="93" t="e">
        <f>+K106-K107</f>
        <v>#REF!</v>
      </c>
      <c r="L108" s="697" t="s">
        <v>373</v>
      </c>
    </row>
    <row r="109" spans="1:12" ht="5" customHeight="1" x14ac:dyDescent="0.35">
      <c r="H109" s="36"/>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303" t="s">
        <v>80</v>
      </c>
      <c r="B1" s="1303"/>
      <c r="C1" s="1303"/>
      <c r="D1" s="1303"/>
      <c r="E1" s="1303"/>
      <c r="F1" s="1303"/>
      <c r="G1" s="1303"/>
    </row>
    <row r="4" spans="1:9" ht="29.5" customHeight="1" x14ac:dyDescent="0.35">
      <c r="C4" s="1261" t="str">
        <f>Bud_Yr&amp;" Budget"</f>
        <v>2024 Budget</v>
      </c>
      <c r="D4" s="1263" t="s">
        <v>326</v>
      </c>
      <c r="E4" s="1263" t="str">
        <f>Bud_Yr-1&amp;" Budget"</f>
        <v>2023 Budget</v>
      </c>
      <c r="F4" s="1255" t="str">
        <f>Bud_Yr&amp;" Budget vs             "&amp;Bud_Yr-1&amp;" Budget"</f>
        <v>2024 Budget vs             2023 Budget</v>
      </c>
      <c r="G4" s="1256"/>
    </row>
    <row r="5" spans="1:9" x14ac:dyDescent="0.35">
      <c r="C5" s="1443"/>
      <c r="D5" s="1264"/>
      <c r="E5" s="1444"/>
      <c r="F5" s="473" t="s">
        <v>104</v>
      </c>
      <c r="G5" s="474" t="s">
        <v>105</v>
      </c>
    </row>
    <row r="6" spans="1:9" x14ac:dyDescent="0.35">
      <c r="B6" s="475" t="s">
        <v>251</v>
      </c>
      <c r="C6" s="618">
        <f>+'New Year-Full Year'!P17</f>
        <v>17150</v>
      </c>
      <c r="D6" s="618">
        <f>+E6+1500</f>
        <v>19650</v>
      </c>
      <c r="E6" s="618">
        <f>+'New Year-Full Year'!Q17</f>
        <v>18150</v>
      </c>
      <c r="F6" s="476">
        <f>+C6-E6</f>
        <v>-1000</v>
      </c>
      <c r="G6" s="477">
        <f>IF(E6=0,"NA",(+C6-E6)/E6)</f>
        <v>-5.5096418732782371E-2</v>
      </c>
      <c r="I6" s="502"/>
    </row>
    <row r="7" spans="1:9" x14ac:dyDescent="0.35">
      <c r="B7" s="478" t="s">
        <v>252</v>
      </c>
      <c r="C7" s="235" t="e">
        <f>+'New Year-Full Year'!#REF!</f>
        <v>#REF!</v>
      </c>
      <c r="D7" s="235" t="e">
        <f>+E7</f>
        <v>#REF!</v>
      </c>
      <c r="E7" s="235" t="e">
        <f>+'New Year-Full Year'!#REF!</f>
        <v>#REF!</v>
      </c>
      <c r="F7" s="203" t="e">
        <f>+C7-E7</f>
        <v>#REF!</v>
      </c>
      <c r="G7" s="479" t="e">
        <f>IF(E7=0,"NA",(+C7-E7)/E7)</f>
        <v>#REF!</v>
      </c>
    </row>
    <row r="8" spans="1:9" x14ac:dyDescent="0.35">
      <c r="B8" s="478" t="s">
        <v>253</v>
      </c>
      <c r="C8" s="235">
        <f>+'New Year-Full Year'!P18</f>
        <v>500</v>
      </c>
      <c r="D8" s="235">
        <f>+E8+1000</f>
        <v>1500</v>
      </c>
      <c r="E8" s="235">
        <f>+'New Year-Full Year'!Q18</f>
        <v>500</v>
      </c>
      <c r="F8" s="203">
        <f t="shared" ref="F8:F14" si="0">+C8-E8</f>
        <v>0</v>
      </c>
      <c r="G8" s="479">
        <f t="shared" ref="G8:G14" si="1">IF(E8=0,"NA",(+C8-E8)/E8)</f>
        <v>0</v>
      </c>
    </row>
    <row r="9" spans="1:9" x14ac:dyDescent="0.35">
      <c r="B9" s="478" t="s">
        <v>260</v>
      </c>
      <c r="C9" s="235">
        <f>+'New Year-Full Year'!P19</f>
        <v>1500</v>
      </c>
      <c r="D9" s="235">
        <f>+E9+1000</f>
        <v>2500</v>
      </c>
      <c r="E9" s="235">
        <f>+'New Year-Full Year'!Q19</f>
        <v>1500</v>
      </c>
      <c r="F9" s="203">
        <f t="shared" si="0"/>
        <v>0</v>
      </c>
      <c r="G9" s="479">
        <f t="shared" si="1"/>
        <v>0</v>
      </c>
    </row>
    <row r="10" spans="1:9" x14ac:dyDescent="0.35">
      <c r="B10" s="478" t="s">
        <v>254</v>
      </c>
      <c r="C10" s="235">
        <f>+'New Year-Full Year'!P20</f>
        <v>750</v>
      </c>
      <c r="D10" s="235">
        <f>+E10</f>
        <v>750</v>
      </c>
      <c r="E10" s="235">
        <f>+'New Year-Full Year'!Q20</f>
        <v>750</v>
      </c>
      <c r="F10" s="203">
        <f t="shared" si="0"/>
        <v>0</v>
      </c>
      <c r="G10" s="479">
        <f t="shared" si="1"/>
        <v>0</v>
      </c>
    </row>
    <row r="11" spans="1:9" x14ac:dyDescent="0.35">
      <c r="B11" s="478" t="s">
        <v>255</v>
      </c>
      <c r="C11" s="235">
        <f>+'New Year-Full Year'!P21</f>
        <v>1000</v>
      </c>
      <c r="D11" s="235">
        <f>+E11+1000</f>
        <v>2000</v>
      </c>
      <c r="E11" s="235">
        <f>+'New Year-Full Year'!Q21</f>
        <v>1000</v>
      </c>
      <c r="F11" s="203">
        <f t="shared" si="0"/>
        <v>0</v>
      </c>
      <c r="G11" s="479">
        <f t="shared" si="1"/>
        <v>0</v>
      </c>
    </row>
    <row r="12" spans="1:9" x14ac:dyDescent="0.35">
      <c r="B12" s="478" t="s">
        <v>256</v>
      </c>
      <c r="C12" s="235">
        <f>+'New Year-Full Year'!P23</f>
        <v>1000</v>
      </c>
      <c r="D12" s="235">
        <f>+E12+500</f>
        <v>1500</v>
      </c>
      <c r="E12" s="235">
        <f>+'New Year-Full Year'!Q23</f>
        <v>1000</v>
      </c>
      <c r="F12" s="203">
        <f t="shared" si="0"/>
        <v>0</v>
      </c>
      <c r="G12" s="479">
        <f t="shared" si="1"/>
        <v>0</v>
      </c>
    </row>
    <row r="13" spans="1:9" x14ac:dyDescent="0.35">
      <c r="B13" s="478" t="s">
        <v>257</v>
      </c>
      <c r="C13" s="235">
        <f>+'New Year-Full Year'!P24</f>
        <v>1000</v>
      </c>
      <c r="D13" s="235">
        <f>+E13+1000</f>
        <v>2000</v>
      </c>
      <c r="E13" s="235">
        <f>+'New Year-Full Year'!Q24</f>
        <v>1000</v>
      </c>
      <c r="F13" s="203">
        <f t="shared" si="0"/>
        <v>0</v>
      </c>
      <c r="G13" s="479">
        <f t="shared" si="1"/>
        <v>0</v>
      </c>
    </row>
    <row r="14" spans="1:9" x14ac:dyDescent="0.35">
      <c r="B14" s="478" t="s">
        <v>258</v>
      </c>
      <c r="C14" s="235">
        <f>+'New Year-Full Year'!P25</f>
        <v>1000</v>
      </c>
      <c r="D14" s="235">
        <f>+E14+500</f>
        <v>1500</v>
      </c>
      <c r="E14" s="235">
        <f>+'New Year-Full Year'!Q25</f>
        <v>1000</v>
      </c>
      <c r="F14" s="203">
        <f t="shared" si="0"/>
        <v>0</v>
      </c>
      <c r="G14" s="479">
        <f t="shared" si="1"/>
        <v>0</v>
      </c>
    </row>
    <row r="15" spans="1:9" x14ac:dyDescent="0.35">
      <c r="B15" s="480" t="s">
        <v>126</v>
      </c>
      <c r="C15" s="621" t="e">
        <f>+SUM(C6:C14)</f>
        <v>#REF!</v>
      </c>
      <c r="D15" s="621" t="e">
        <f>+SUM(D6:D14)</f>
        <v>#REF!</v>
      </c>
      <c r="E15" s="621" t="e">
        <f>+SUM(E6:E14)</f>
        <v>#REF!</v>
      </c>
      <c r="F15" s="481" t="e">
        <f>+SUM(F6:F14)</f>
        <v>#REF!</v>
      </c>
      <c r="G15" s="482"/>
    </row>
  </sheetData>
  <mergeCells count="5">
    <mergeCell ref="C4:C5"/>
    <mergeCell ref="E4:E5"/>
    <mergeCell ref="F4:G4"/>
    <mergeCell ref="A1:G1"/>
    <mergeCell ref="D4:D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570" customWidth="1"/>
    <col min="2" max="2" width="39.6328125" style="570" customWidth="1"/>
    <col min="3" max="3" width="15" style="570" hidden="1" customWidth="1"/>
    <col min="4" max="4" width="1.453125" style="597" customWidth="1"/>
    <col min="5" max="6" width="16" style="570" customWidth="1"/>
    <col min="7" max="7" width="1.453125" style="570" customWidth="1"/>
    <col min="8" max="8" width="16.08984375" style="570" customWidth="1"/>
    <col min="9" max="9" width="1.453125" style="570" customWidth="1"/>
    <col min="10" max="10" width="16.08984375" style="570" customWidth="1"/>
    <col min="11" max="16384" width="8.7265625" style="570"/>
  </cols>
  <sheetData>
    <row r="1" spans="1:11" ht="26" x14ac:dyDescent="0.6">
      <c r="B1" s="1447" t="s">
        <v>80</v>
      </c>
      <c r="C1" s="1447"/>
      <c r="D1" s="1447"/>
      <c r="E1" s="1447"/>
      <c r="F1" s="1447"/>
      <c r="G1" s="1447"/>
      <c r="H1" s="1447"/>
      <c r="I1" s="1447"/>
      <c r="J1" s="1447"/>
    </row>
    <row r="2" spans="1:11" x14ac:dyDescent="0.5">
      <c r="D2" s="599"/>
    </row>
    <row r="3" spans="1:11" x14ac:dyDescent="0.5">
      <c r="D3" s="601"/>
      <c r="E3" s="1445">
        <v>2020</v>
      </c>
      <c r="F3" s="1446"/>
      <c r="G3" s="608"/>
      <c r="H3" s="588">
        <v>2021</v>
      </c>
      <c r="I3" s="612"/>
      <c r="J3" s="602"/>
    </row>
    <row r="4" spans="1:11" ht="53" customHeight="1" x14ac:dyDescent="0.5">
      <c r="B4" s="582"/>
      <c r="C4" s="577" t="s">
        <v>323</v>
      </c>
      <c r="D4" s="604"/>
      <c r="E4" s="577" t="s">
        <v>306</v>
      </c>
      <c r="F4" s="577" t="s">
        <v>320</v>
      </c>
      <c r="G4" s="609"/>
      <c r="H4" s="577" t="s">
        <v>321</v>
      </c>
      <c r="I4" s="613"/>
      <c r="J4" s="577" t="s">
        <v>322</v>
      </c>
      <c r="K4" s="582"/>
    </row>
    <row r="5" spans="1:11" x14ac:dyDescent="0.5">
      <c r="B5" s="582" t="s">
        <v>315</v>
      </c>
      <c r="C5" s="598"/>
      <c r="D5" s="594"/>
      <c r="E5" s="575">
        <v>56200</v>
      </c>
      <c r="F5" s="575" t="e">
        <f>+'Summary New Year'!J108</f>
        <v>#REF!</v>
      </c>
      <c r="G5" s="580"/>
      <c r="H5" s="575" t="e">
        <f>+'New Year-Full Year'!P136</f>
        <v>#REF!</v>
      </c>
      <c r="I5" s="591"/>
      <c r="J5" s="593"/>
      <c r="K5" s="582"/>
    </row>
    <row r="6" spans="1:11" x14ac:dyDescent="0.5">
      <c r="B6" s="582" t="s">
        <v>314</v>
      </c>
      <c r="C6" s="599"/>
      <c r="D6" s="594"/>
      <c r="E6" s="573">
        <v>5000</v>
      </c>
      <c r="F6" s="573"/>
      <c r="G6" s="580"/>
      <c r="H6" s="592"/>
      <c r="I6" s="591"/>
      <c r="J6" s="594"/>
      <c r="K6" s="582"/>
    </row>
    <row r="7" spans="1:11" x14ac:dyDescent="0.5">
      <c r="B7" s="603" t="s">
        <v>317</v>
      </c>
      <c r="C7" s="600"/>
      <c r="D7" s="595"/>
      <c r="E7" s="578">
        <f>+E5-E6</f>
        <v>51200</v>
      </c>
      <c r="F7" s="578" t="e">
        <f>+F5-F6</f>
        <v>#REF!</v>
      </c>
      <c r="G7" s="590"/>
      <c r="H7" s="578" t="e">
        <f>+H5-H6</f>
        <v>#REF!</v>
      </c>
      <c r="I7" s="595"/>
      <c r="J7" s="595"/>
      <c r="K7" s="582"/>
    </row>
    <row r="8" spans="1:11" x14ac:dyDescent="0.5">
      <c r="B8" s="582"/>
      <c r="D8" s="599"/>
      <c r="G8" s="582"/>
      <c r="I8" s="582"/>
      <c r="K8" s="582"/>
    </row>
    <row r="9" spans="1:11" x14ac:dyDescent="0.5">
      <c r="B9" s="603" t="s">
        <v>307</v>
      </c>
      <c r="D9" s="599"/>
      <c r="G9" s="582"/>
      <c r="I9" s="582"/>
      <c r="K9" s="582"/>
    </row>
    <row r="10" spans="1:11" x14ac:dyDescent="0.5">
      <c r="A10" s="571" t="s">
        <v>308</v>
      </c>
      <c r="B10" s="582" t="s">
        <v>319</v>
      </c>
      <c r="C10" s="575">
        <v>13765.63</v>
      </c>
      <c r="D10" s="605"/>
      <c r="E10" s="574"/>
      <c r="F10" s="579">
        <v>20000</v>
      </c>
      <c r="G10" s="589"/>
      <c r="H10" s="575"/>
      <c r="I10" s="594"/>
      <c r="J10" s="615">
        <f>SUM(C10:H10)</f>
        <v>33765.629999999997</v>
      </c>
      <c r="K10" s="582"/>
    </row>
    <row r="11" spans="1:11" x14ac:dyDescent="0.5">
      <c r="A11" s="571" t="s">
        <v>309</v>
      </c>
      <c r="B11" s="582" t="s">
        <v>312</v>
      </c>
      <c r="C11" s="592">
        <v>29502.66</v>
      </c>
      <c r="D11" s="605"/>
      <c r="E11" s="585">
        <f>+$E$7/2</f>
        <v>25600</v>
      </c>
      <c r="F11" s="581">
        <v>10000</v>
      </c>
      <c r="G11" s="589"/>
      <c r="H11" s="592">
        <f>+'New Year-Full Year'!P123</f>
        <v>0</v>
      </c>
      <c r="I11" s="594"/>
      <c r="J11" s="585">
        <f>SUM(C11:H11)</f>
        <v>65102.66</v>
      </c>
      <c r="K11" s="582"/>
    </row>
    <row r="12" spans="1:11" x14ac:dyDescent="0.5">
      <c r="A12" s="571" t="s">
        <v>310</v>
      </c>
      <c r="B12" s="582" t="s">
        <v>318</v>
      </c>
      <c r="C12" s="592">
        <v>168816.55</v>
      </c>
      <c r="D12" s="606"/>
      <c r="E12" s="586"/>
      <c r="F12" s="583" t="e">
        <f>+F7-F10-F11</f>
        <v>#REF!</v>
      </c>
      <c r="G12" s="610"/>
      <c r="H12" s="596"/>
      <c r="I12" s="614"/>
      <c r="J12" s="596" t="e">
        <f>SUM(C12:H12)</f>
        <v>#REF!</v>
      </c>
      <c r="K12" s="582"/>
    </row>
    <row r="13" spans="1:11" x14ac:dyDescent="0.5">
      <c r="A13" s="571" t="s">
        <v>311</v>
      </c>
      <c r="B13" s="582" t="s">
        <v>313</v>
      </c>
      <c r="C13" s="573">
        <v>29502.66</v>
      </c>
      <c r="D13" s="576"/>
      <c r="E13" s="587">
        <f>+$E$7/2</f>
        <v>25600</v>
      </c>
      <c r="F13" s="584"/>
      <c r="G13" s="611"/>
      <c r="H13" s="572"/>
      <c r="I13" s="599"/>
      <c r="J13" s="587">
        <f>SUM(C13:H13)</f>
        <v>55102.66</v>
      </c>
      <c r="K13" s="582"/>
    </row>
    <row r="14" spans="1:11" x14ac:dyDescent="0.5">
      <c r="B14" s="603" t="s">
        <v>316</v>
      </c>
      <c r="C14" s="578">
        <f>SUM(C10:C13)</f>
        <v>241587.5</v>
      </c>
      <c r="D14" s="607"/>
      <c r="E14" s="578">
        <f>SUM(E10:E13)</f>
        <v>51200</v>
      </c>
      <c r="F14" s="578" t="e">
        <f>SUM(F10:F13)</f>
        <v>#REF!</v>
      </c>
      <c r="G14" s="590"/>
      <c r="H14" s="578">
        <f>SUM(H10:H13)</f>
        <v>0</v>
      </c>
      <c r="I14" s="595"/>
      <c r="J14" s="578" t="e">
        <f>SUM(J10:J13)</f>
        <v>#REF!</v>
      </c>
      <c r="K14" s="582"/>
    </row>
  </sheetData>
  <mergeCells count="2">
    <mergeCell ref="E3:F3"/>
    <mergeCell ref="B1:J1"/>
  </mergeCells>
  <pageMargins left="0.7" right="0.7" top="0.75" bottom="0.75" header="0.3" footer="0.3"/>
  <pageSetup orientation="landscape" horizontalDpi="0" verticalDpi="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564" customWidth="1"/>
    <col min="2" max="2" width="15.7265625" style="564" customWidth="1"/>
    <col min="3" max="3" width="100.453125" style="564" customWidth="1"/>
    <col min="4" max="16384" width="8.7265625" style="564"/>
  </cols>
  <sheetData>
    <row r="1" spans="1:3" ht="26" x14ac:dyDescent="0.35">
      <c r="A1" s="1448" t="s">
        <v>292</v>
      </c>
      <c r="B1" s="1448"/>
      <c r="C1" s="1448"/>
    </row>
    <row r="3" spans="1:3" ht="42" customHeight="1" x14ac:dyDescent="0.35">
      <c r="A3" s="565" t="s">
        <v>293</v>
      </c>
      <c r="B3" s="567">
        <v>3000</v>
      </c>
      <c r="C3" s="566" t="s">
        <v>302</v>
      </c>
    </row>
    <row r="4" spans="1:3" ht="42" customHeight="1" x14ac:dyDescent="0.35">
      <c r="A4" s="565" t="s">
        <v>294</v>
      </c>
      <c r="B4" s="567">
        <v>4000</v>
      </c>
      <c r="C4" s="566" t="s">
        <v>296</v>
      </c>
    </row>
    <row r="5" spans="1:3" ht="42" customHeight="1" x14ac:dyDescent="0.35">
      <c r="A5" s="565" t="s">
        <v>295</v>
      </c>
      <c r="B5" s="567">
        <v>2759</v>
      </c>
      <c r="C5" s="566" t="s">
        <v>300</v>
      </c>
    </row>
    <row r="6" spans="1:3" ht="42" customHeight="1" x14ac:dyDescent="0.35">
      <c r="A6" s="565" t="s">
        <v>298</v>
      </c>
      <c r="B6" s="567">
        <v>8000</v>
      </c>
      <c r="C6" s="566" t="s">
        <v>297</v>
      </c>
    </row>
    <row r="7" spans="1:3" ht="42" customHeight="1" x14ac:dyDescent="0.35">
      <c r="A7" s="565" t="s">
        <v>299</v>
      </c>
      <c r="B7" s="567">
        <v>8185</v>
      </c>
      <c r="C7" s="566" t="s">
        <v>301</v>
      </c>
    </row>
  </sheetData>
  <mergeCells count="1">
    <mergeCell ref="A1:C1"/>
  </mergeCells>
  <pageMargins left="0.7" right="0.7" top="0.75" bottom="0.75" header="0.3" footer="0.3"/>
  <pageSetup orientation="landscape"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10" customWidth="1"/>
    <col min="2" max="2" width="38.453125" style="110" customWidth="1"/>
    <col min="3" max="3" width="13.90625" style="174" hidden="1" customWidth="1"/>
    <col min="4" max="5" width="13.90625" style="110" hidden="1" customWidth="1"/>
    <col min="6" max="6" width="8.7265625" style="110" hidden="1" customWidth="1"/>
    <col min="7" max="7" width="9.81640625" style="110" hidden="1" customWidth="1"/>
    <col min="8" max="8" width="11.90625" style="110" hidden="1" customWidth="1"/>
    <col min="9" max="11" width="13.90625" style="110" customWidth="1"/>
    <col min="12" max="16384" width="8.7265625" style="110"/>
  </cols>
  <sheetData>
    <row r="1" spans="1:11" ht="21" x14ac:dyDescent="0.35">
      <c r="A1" s="1306" t="s">
        <v>271</v>
      </c>
      <c r="B1" s="1306"/>
      <c r="C1" s="1306"/>
      <c r="D1" s="1306"/>
      <c r="E1" s="1306"/>
      <c r="F1" s="1306"/>
      <c r="G1" s="1306"/>
      <c r="H1" s="1306"/>
      <c r="I1" s="1306"/>
      <c r="J1" s="1306"/>
      <c r="K1" s="1306"/>
    </row>
    <row r="2" spans="1:11" s="722" customFormat="1" ht="10" customHeight="1" x14ac:dyDescent="0.35">
      <c r="B2" s="723"/>
      <c r="C2" s="724"/>
      <c r="D2" s="724"/>
      <c r="E2" s="725"/>
      <c r="I2" s="724"/>
      <c r="J2" s="724"/>
      <c r="K2" s="724"/>
    </row>
    <row r="3" spans="1:11" ht="37.5" customHeight="1" x14ac:dyDescent="0.35">
      <c r="C3" s="373" t="s">
        <v>265</v>
      </c>
      <c r="D3" s="352" t="s">
        <v>224</v>
      </c>
      <c r="E3" s="554" t="s">
        <v>376</v>
      </c>
      <c r="G3" s="708"/>
      <c r="H3" s="709"/>
      <c r="I3" s="352" t="s">
        <v>375</v>
      </c>
      <c r="J3" s="373" t="s">
        <v>504</v>
      </c>
      <c r="K3" s="373" t="s">
        <v>505</v>
      </c>
    </row>
    <row r="4" spans="1:11" ht="14.5" customHeight="1" x14ac:dyDescent="0.35">
      <c r="A4" s="1383" t="s">
        <v>268</v>
      </c>
      <c r="B4" s="380" t="s">
        <v>36</v>
      </c>
      <c r="C4" s="374">
        <v>40802</v>
      </c>
      <c r="D4" s="374">
        <v>40802</v>
      </c>
      <c r="E4" s="144">
        <v>42687</v>
      </c>
      <c r="F4" s="1380" t="s">
        <v>377</v>
      </c>
      <c r="G4" s="1381"/>
      <c r="H4" s="1382"/>
      <c r="I4" s="374">
        <v>44553</v>
      </c>
      <c r="J4" s="374">
        <v>7425.5</v>
      </c>
      <c r="K4" s="374">
        <v>44553</v>
      </c>
    </row>
    <row r="5" spans="1:11" ht="15" thickBot="1" x14ac:dyDescent="0.4">
      <c r="A5" s="1384"/>
      <c r="B5" s="142" t="s">
        <v>125</v>
      </c>
      <c r="C5" s="149">
        <v>17487</v>
      </c>
      <c r="D5" s="149">
        <v>17487</v>
      </c>
      <c r="E5" s="377">
        <v>20000</v>
      </c>
      <c r="F5" s="1380"/>
      <c r="G5" s="1381"/>
      <c r="H5" s="1382"/>
      <c r="I5" s="377">
        <v>20000</v>
      </c>
      <c r="J5" s="795">
        <v>3333.3333333333335</v>
      </c>
      <c r="K5" s="377">
        <v>20000</v>
      </c>
    </row>
    <row r="6" spans="1:11" ht="14.5" customHeight="1" x14ac:dyDescent="0.35">
      <c r="A6" s="1384"/>
      <c r="B6" s="142" t="s">
        <v>126</v>
      </c>
      <c r="C6" s="375">
        <v>58289</v>
      </c>
      <c r="D6" s="375">
        <v>58289</v>
      </c>
      <c r="E6" s="153">
        <v>62687</v>
      </c>
      <c r="F6" s="1380"/>
      <c r="G6" s="1381"/>
      <c r="H6" s="1382"/>
      <c r="I6" s="882">
        <v>64553</v>
      </c>
      <c r="J6" s="882">
        <v>10758.833333333334</v>
      </c>
      <c r="K6" s="882">
        <v>64553</v>
      </c>
    </row>
    <row r="7" spans="1:11" ht="7.5" customHeight="1" x14ac:dyDescent="0.35">
      <c r="A7" s="1384"/>
      <c r="B7" s="1449" t="s">
        <v>507</v>
      </c>
      <c r="C7" s="147"/>
      <c r="D7" s="147"/>
      <c r="E7" s="147"/>
      <c r="I7" s="147"/>
      <c r="J7" s="147"/>
      <c r="K7" s="147"/>
    </row>
    <row r="8" spans="1:11" ht="26.5" customHeight="1" x14ac:dyDescent="0.35">
      <c r="A8" s="1384"/>
      <c r="B8" s="1449"/>
      <c r="C8" s="166">
        <v>0</v>
      </c>
      <c r="D8" s="166">
        <v>0</v>
      </c>
      <c r="E8" s="166">
        <v>2400</v>
      </c>
      <c r="I8" s="166">
        <v>2400</v>
      </c>
      <c r="J8" s="358">
        <v>0</v>
      </c>
      <c r="K8" s="166">
        <v>2000</v>
      </c>
    </row>
    <row r="9" spans="1:11" ht="8" customHeight="1" x14ac:dyDescent="0.35">
      <c r="A9" s="1384"/>
      <c r="B9" s="1449"/>
      <c r="C9" s="147"/>
      <c r="D9" s="147"/>
      <c r="E9" s="147"/>
      <c r="I9" s="147"/>
      <c r="J9" s="147"/>
      <c r="K9" s="147"/>
    </row>
    <row r="10" spans="1:11" ht="14.5" customHeight="1" x14ac:dyDescent="0.35">
      <c r="A10" s="1384"/>
      <c r="B10" s="161" t="s">
        <v>142</v>
      </c>
      <c r="C10" s="353">
        <v>58289</v>
      </c>
      <c r="D10" s="353">
        <v>29145</v>
      </c>
      <c r="E10" s="492">
        <v>65087</v>
      </c>
      <c r="I10" s="353">
        <v>66953</v>
      </c>
      <c r="J10" s="353">
        <v>10758.833333333334</v>
      </c>
      <c r="K10" s="353">
        <v>66553</v>
      </c>
    </row>
    <row r="11" spans="1:11" x14ac:dyDescent="0.35">
      <c r="A11" s="1384"/>
      <c r="B11" s="154" t="s">
        <v>233</v>
      </c>
      <c r="C11" s="166">
        <v>4459</v>
      </c>
      <c r="D11" s="166">
        <v>2230</v>
      </c>
      <c r="E11" s="166">
        <v>4979</v>
      </c>
      <c r="F11" s="117"/>
      <c r="I11" s="166">
        <v>5122</v>
      </c>
      <c r="J11" s="166">
        <v>823</v>
      </c>
      <c r="K11" s="166">
        <v>5091</v>
      </c>
    </row>
    <row r="12" spans="1:11" ht="21" customHeight="1" x14ac:dyDescent="0.35">
      <c r="A12" s="1385"/>
      <c r="B12" s="169" t="s">
        <v>144</v>
      </c>
      <c r="C12" s="173">
        <v>62748</v>
      </c>
      <c r="D12" s="173">
        <v>31375</v>
      </c>
      <c r="E12" s="173">
        <v>70066</v>
      </c>
      <c r="I12" s="173">
        <v>72075</v>
      </c>
      <c r="J12" s="173">
        <v>11581.833333333334</v>
      </c>
      <c r="K12" s="173">
        <v>71644</v>
      </c>
    </row>
    <row r="13" spans="1:11" ht="8.5" customHeight="1" x14ac:dyDescent="0.35">
      <c r="B13" s="174"/>
      <c r="D13" s="174"/>
      <c r="E13" s="174"/>
      <c r="I13" s="174"/>
      <c r="J13" s="174"/>
      <c r="K13" s="174"/>
    </row>
    <row r="14" spans="1:11" ht="9.5" customHeight="1" x14ac:dyDescent="0.35">
      <c r="A14" s="1383" t="s">
        <v>235</v>
      </c>
      <c r="B14" s="140"/>
      <c r="C14" s="496"/>
      <c r="D14" s="496"/>
      <c r="E14" s="497"/>
      <c r="I14" s="497"/>
      <c r="J14" s="497"/>
      <c r="K14" s="496"/>
    </row>
    <row r="15" spans="1:11" ht="14.5" customHeight="1" x14ac:dyDescent="0.35">
      <c r="A15" s="1384"/>
      <c r="B15" s="162" t="s">
        <v>506</v>
      </c>
      <c r="C15" s="147"/>
      <c r="D15" s="156"/>
      <c r="E15" s="390">
        <v>0</v>
      </c>
      <c r="F15" s="748"/>
      <c r="G15" s="748"/>
      <c r="H15" s="748"/>
      <c r="I15" s="390">
        <v>0</v>
      </c>
      <c r="J15" s="390">
        <v>3340</v>
      </c>
      <c r="K15" s="359">
        <v>3340</v>
      </c>
    </row>
    <row r="16" spans="1:11" ht="9.5" customHeight="1" x14ac:dyDescent="0.35">
      <c r="A16" s="1385"/>
      <c r="B16" s="169"/>
      <c r="C16" s="493"/>
      <c r="D16" s="704"/>
      <c r="E16" s="173"/>
      <c r="I16" s="173"/>
      <c r="J16" s="173"/>
      <c r="K16" s="173"/>
    </row>
    <row r="17" spans="1:11" ht="7" customHeight="1" x14ac:dyDescent="0.35">
      <c r="B17" s="174"/>
      <c r="D17" s="174"/>
      <c r="E17" s="174"/>
      <c r="I17" s="174"/>
      <c r="J17" s="174"/>
      <c r="K17" s="174"/>
    </row>
    <row r="18" spans="1:11" ht="7" customHeight="1" x14ac:dyDescent="0.35">
      <c r="A18" s="1383" t="s">
        <v>127</v>
      </c>
      <c r="B18" s="175"/>
      <c r="C18" s="378">
        <v>0.1</v>
      </c>
      <c r="D18" s="378">
        <v>0.1</v>
      </c>
      <c r="E18" s="360">
        <v>0.1</v>
      </c>
      <c r="I18" s="360"/>
      <c r="J18" s="360"/>
      <c r="K18" s="360"/>
    </row>
    <row r="19" spans="1:11" x14ac:dyDescent="0.35">
      <c r="A19" s="1384"/>
      <c r="B19" s="154" t="s">
        <v>242</v>
      </c>
      <c r="C19" s="144"/>
      <c r="D19" s="144"/>
      <c r="E19" s="553">
        <v>0.16</v>
      </c>
      <c r="I19" s="553">
        <v>0.16</v>
      </c>
      <c r="J19" s="553">
        <v>0.1</v>
      </c>
      <c r="K19" s="553"/>
    </row>
    <row r="20" spans="1:11" x14ac:dyDescent="0.35">
      <c r="A20" s="1385"/>
      <c r="B20" s="169" t="s">
        <v>151</v>
      </c>
      <c r="C20" s="173">
        <v>6275</v>
      </c>
      <c r="D20" s="173">
        <v>3138</v>
      </c>
      <c r="E20" s="356">
        <v>11211</v>
      </c>
      <c r="I20" s="356">
        <v>11532</v>
      </c>
      <c r="J20" s="356">
        <v>1158</v>
      </c>
      <c r="K20" s="356">
        <v>10665</v>
      </c>
    </row>
    <row r="21" spans="1:11" ht="7" customHeight="1" x14ac:dyDescent="0.35">
      <c r="B21" s="174"/>
      <c r="D21" s="174"/>
      <c r="E21" s="174"/>
      <c r="I21" s="174"/>
      <c r="J21" s="174"/>
      <c r="K21" s="174"/>
    </row>
    <row r="22" spans="1:11" x14ac:dyDescent="0.35">
      <c r="A22" s="1383" t="s">
        <v>128</v>
      </c>
      <c r="B22" s="140" t="s">
        <v>409</v>
      </c>
      <c r="C22" s="378">
        <v>1.4999999999999999E-2</v>
      </c>
      <c r="D22" s="378">
        <v>1.4999999999999999E-2</v>
      </c>
      <c r="E22" s="378">
        <v>1.4999999999999999E-2</v>
      </c>
      <c r="I22" s="378">
        <v>1.4999999999999999E-2</v>
      </c>
      <c r="J22" s="378">
        <v>1.4999999999999999E-2</v>
      </c>
      <c r="K22" s="378">
        <v>1.4999999999999999E-2</v>
      </c>
    </row>
    <row r="23" spans="1:11" x14ac:dyDescent="0.35">
      <c r="A23" s="1384"/>
      <c r="B23" s="154" t="s">
        <v>410</v>
      </c>
      <c r="C23" s="361">
        <v>7.0000000000000001E-3</v>
      </c>
      <c r="D23" s="361">
        <v>7.0000000000000001E-3</v>
      </c>
      <c r="E23" s="361">
        <v>7.0000000000000001E-3</v>
      </c>
      <c r="I23" s="361">
        <v>7.0000000000000001E-3</v>
      </c>
      <c r="J23" s="361">
        <v>7.0000000000000001E-3</v>
      </c>
      <c r="K23" s="361">
        <v>7.0000000000000001E-3</v>
      </c>
    </row>
    <row r="24" spans="1:11" hidden="1" x14ac:dyDescent="0.35">
      <c r="A24" s="1384"/>
      <c r="B24" s="154" t="s">
        <v>236</v>
      </c>
      <c r="C24" s="361">
        <v>7.0000000000000001E-3</v>
      </c>
      <c r="D24" s="361">
        <v>7.0000000000000001E-3</v>
      </c>
      <c r="E24" s="361">
        <v>0</v>
      </c>
      <c r="F24" s="1412" t="s">
        <v>269</v>
      </c>
      <c r="G24" s="1413"/>
      <c r="H24" s="1414"/>
      <c r="I24" s="361">
        <v>0</v>
      </c>
      <c r="J24" s="361">
        <v>0</v>
      </c>
      <c r="K24" s="361">
        <v>0</v>
      </c>
    </row>
    <row r="25" spans="1:11" x14ac:dyDescent="0.35">
      <c r="A25" s="1384"/>
      <c r="B25" s="154" t="s">
        <v>411</v>
      </c>
      <c r="C25" s="362">
        <v>2.8999999999999998E-2</v>
      </c>
      <c r="D25" s="362">
        <v>2.8999999999999998E-2</v>
      </c>
      <c r="E25" s="362">
        <v>2.1999999999999999E-2</v>
      </c>
      <c r="I25" s="362">
        <v>2.1999999999999999E-2</v>
      </c>
      <c r="J25" s="362">
        <v>2.1999999999999999E-2</v>
      </c>
      <c r="K25" s="362">
        <v>2.1999999999999999E-2</v>
      </c>
    </row>
    <row r="26" spans="1:11" x14ac:dyDescent="0.35">
      <c r="A26" s="1384"/>
      <c r="B26" s="154" t="s">
        <v>152</v>
      </c>
      <c r="C26" s="144">
        <v>62748</v>
      </c>
      <c r="D26" s="144">
        <v>31375</v>
      </c>
      <c r="E26" s="144">
        <v>70066</v>
      </c>
      <c r="I26" s="144">
        <v>72075</v>
      </c>
      <c r="J26" s="144">
        <v>11581.833333333334</v>
      </c>
      <c r="K26" s="144">
        <v>71644</v>
      </c>
    </row>
    <row r="27" spans="1:11" x14ac:dyDescent="0.35">
      <c r="A27" s="1385"/>
      <c r="B27" s="130" t="s">
        <v>155</v>
      </c>
      <c r="C27" s="173">
        <v>1820</v>
      </c>
      <c r="D27" s="173">
        <v>910</v>
      </c>
      <c r="E27" s="494">
        <v>1541</v>
      </c>
      <c r="I27" s="173">
        <v>1586</v>
      </c>
      <c r="J27" s="173">
        <v>255</v>
      </c>
      <c r="K27" s="173">
        <v>1576</v>
      </c>
    </row>
    <row r="28" spans="1:11" ht="7.5" customHeight="1" x14ac:dyDescent="0.35">
      <c r="D28" s="174"/>
      <c r="I28" s="174"/>
      <c r="J28" s="174"/>
      <c r="K28" s="174"/>
    </row>
    <row r="29" spans="1:11" x14ac:dyDescent="0.35">
      <c r="A29" s="1383" t="s">
        <v>99</v>
      </c>
      <c r="B29" s="122" t="s">
        <v>160</v>
      </c>
      <c r="C29" s="498">
        <v>1200</v>
      </c>
      <c r="D29" s="705">
        <v>600</v>
      </c>
      <c r="E29" s="498">
        <v>1200</v>
      </c>
      <c r="I29" s="498">
        <v>1200</v>
      </c>
      <c r="J29" s="705">
        <v>200</v>
      </c>
      <c r="K29" s="705">
        <v>1200</v>
      </c>
    </row>
    <row r="30" spans="1:11" x14ac:dyDescent="0.35">
      <c r="A30" s="1384"/>
      <c r="B30" s="124" t="s">
        <v>508</v>
      </c>
      <c r="C30" s="355">
        <v>750</v>
      </c>
      <c r="D30" s="379">
        <v>375</v>
      </c>
      <c r="E30" s="355">
        <v>1300</v>
      </c>
      <c r="I30" s="355">
        <v>1300</v>
      </c>
      <c r="J30" s="379">
        <v>216.66666666666666</v>
      </c>
      <c r="K30" s="379">
        <v>1300</v>
      </c>
    </row>
    <row r="31" spans="1:11" x14ac:dyDescent="0.35">
      <c r="A31" s="1384"/>
      <c r="B31" s="124" t="s">
        <v>99</v>
      </c>
      <c r="C31" s="355">
        <v>600</v>
      </c>
      <c r="D31" s="379">
        <v>300</v>
      </c>
      <c r="E31" s="355">
        <v>600</v>
      </c>
      <c r="I31" s="355">
        <v>600</v>
      </c>
      <c r="J31" s="379">
        <v>100</v>
      </c>
      <c r="K31" s="379">
        <v>600</v>
      </c>
    </row>
    <row r="32" spans="1:11" x14ac:dyDescent="0.35">
      <c r="A32" s="1384"/>
      <c r="B32" s="154" t="s">
        <v>170</v>
      </c>
      <c r="C32" s="355">
        <v>480</v>
      </c>
      <c r="D32" s="379">
        <v>240</v>
      </c>
      <c r="E32" s="355">
        <v>480</v>
      </c>
      <c r="F32" s="259"/>
      <c r="G32" s="259"/>
      <c r="H32" s="259"/>
      <c r="I32" s="355">
        <v>480</v>
      </c>
      <c r="J32" s="379">
        <v>80</v>
      </c>
      <c r="K32" s="379">
        <v>480</v>
      </c>
    </row>
    <row r="33" spans="1:11" hidden="1" x14ac:dyDescent="0.35">
      <c r="A33" s="1384"/>
      <c r="B33" s="154" t="s">
        <v>230</v>
      </c>
      <c r="C33" s="355">
        <v>300</v>
      </c>
      <c r="D33" s="355">
        <v>300</v>
      </c>
      <c r="E33" s="355"/>
      <c r="F33" s="259"/>
      <c r="G33" s="259"/>
      <c r="H33" s="259"/>
      <c r="I33" s="355"/>
      <c r="J33" s="355"/>
      <c r="K33" s="355"/>
    </row>
    <row r="34" spans="1:11" x14ac:dyDescent="0.35">
      <c r="A34" s="1385"/>
      <c r="B34" s="135" t="s">
        <v>162</v>
      </c>
      <c r="C34" s="356">
        <v>3330</v>
      </c>
      <c r="D34" s="356">
        <v>1815</v>
      </c>
      <c r="E34" s="495">
        <v>3580</v>
      </c>
      <c r="H34" s="117"/>
      <c r="I34" s="356">
        <v>3580</v>
      </c>
      <c r="J34" s="356">
        <v>596.66666666666663</v>
      </c>
      <c r="K34" s="356">
        <v>3580</v>
      </c>
    </row>
    <row r="35" spans="1:11" ht="8" customHeight="1" x14ac:dyDescent="0.35">
      <c r="D35" s="174"/>
    </row>
    <row r="36" spans="1:11" x14ac:dyDescent="0.35">
      <c r="B36" s="138" t="s">
        <v>237</v>
      </c>
      <c r="C36" s="357">
        <v>96198</v>
      </c>
      <c r="D36" s="357">
        <v>48251</v>
      </c>
      <c r="E36" s="139">
        <v>86398</v>
      </c>
      <c r="F36" s="117"/>
      <c r="G36" s="563"/>
      <c r="H36" s="382"/>
      <c r="I36" s="139">
        <v>88773</v>
      </c>
      <c r="J36" s="139">
        <v>16931.5</v>
      </c>
      <c r="K36" s="139">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10" customWidth="1"/>
    <col min="2" max="2" width="10.453125" style="110" hidden="1" customWidth="1" outlineLevel="1"/>
    <col min="3" max="3" width="10" style="110" hidden="1" customWidth="1" outlineLevel="1"/>
    <col min="4" max="6" width="8.7265625" style="110" hidden="1" customWidth="1" outlineLevel="1"/>
    <col min="7" max="7" width="13.90625" style="110" hidden="1" customWidth="1" outlineLevel="1" collapsed="1"/>
    <col min="8" max="9" width="13.90625" style="110" hidden="1" customWidth="1" outlineLevel="1"/>
    <col min="10" max="10" width="23.6328125" style="110" hidden="1" customWidth="1" outlineLevel="1"/>
    <col min="11" max="11" width="13.90625" style="110" customWidth="1" collapsed="1"/>
    <col min="12" max="16" width="13.90625" style="110" hidden="1" customWidth="1"/>
    <col min="17" max="18" width="13.90625" style="110" customWidth="1"/>
    <col min="19" max="22" width="13.90625" style="110" hidden="1" customWidth="1"/>
    <col min="23" max="24" width="8.7265625" style="110"/>
    <col min="25" max="25" width="31.54296875" style="110" customWidth="1"/>
    <col min="26" max="16384" width="8.7265625" style="110"/>
  </cols>
  <sheetData>
    <row r="1" spans="1:25" ht="21" x14ac:dyDescent="0.35">
      <c r="A1" s="1306" t="s">
        <v>405</v>
      </c>
      <c r="B1" s="1306"/>
      <c r="C1" s="1306"/>
      <c r="D1" s="1306"/>
      <c r="E1" s="1306"/>
      <c r="F1" s="1306"/>
      <c r="G1" s="1306"/>
      <c r="H1" s="1306"/>
      <c r="I1" s="1306"/>
      <c r="J1" s="1306"/>
      <c r="K1" s="1306"/>
      <c r="L1" s="1306"/>
      <c r="M1" s="1306"/>
      <c r="N1" s="1306"/>
      <c r="O1" s="1306"/>
      <c r="P1" s="1306"/>
      <c r="Q1" s="1306"/>
      <c r="R1" s="1306"/>
      <c r="S1" s="1306"/>
      <c r="T1" s="1306"/>
      <c r="U1" s="1306"/>
      <c r="V1" s="1306"/>
      <c r="W1" s="1306"/>
      <c r="X1" s="1306"/>
      <c r="Y1" s="1306"/>
    </row>
    <row r="2" spans="1:25" x14ac:dyDescent="0.35">
      <c r="A2" s="881" t="s">
        <v>491</v>
      </c>
      <c r="K2" s="721"/>
      <c r="L2" s="1454"/>
      <c r="M2" s="1454"/>
      <c r="N2" s="1454"/>
      <c r="O2" s="1454"/>
      <c r="P2" s="1454"/>
      <c r="Q2" s="745"/>
      <c r="R2" s="1454"/>
      <c r="S2" s="1454"/>
      <c r="T2" s="1454"/>
      <c r="U2" s="1454"/>
      <c r="V2" s="1455"/>
    </row>
    <row r="3" spans="1:25" ht="43.5" customHeight="1" x14ac:dyDescent="0.35">
      <c r="A3" s="765" t="s">
        <v>432</v>
      </c>
      <c r="B3" s="1450">
        <v>2018</v>
      </c>
      <c r="C3" s="1451"/>
      <c r="D3" s="1451"/>
      <c r="E3" s="1451"/>
      <c r="F3" s="1452"/>
      <c r="G3" s="352" t="s">
        <v>143</v>
      </c>
      <c r="H3" s="111" t="s">
        <v>159</v>
      </c>
      <c r="I3" s="352" t="s">
        <v>224</v>
      </c>
      <c r="K3" s="737" t="s">
        <v>291</v>
      </c>
      <c r="L3" s="738" t="s">
        <v>284</v>
      </c>
      <c r="M3" s="738" t="s">
        <v>285</v>
      </c>
      <c r="N3" s="739" t="s">
        <v>286</v>
      </c>
      <c r="O3" s="739" t="s">
        <v>287</v>
      </c>
      <c r="P3" s="738" t="s">
        <v>288</v>
      </c>
      <c r="Q3" s="740" t="s">
        <v>375</v>
      </c>
      <c r="R3" s="738" t="s">
        <v>284</v>
      </c>
      <c r="S3" s="508" t="s">
        <v>285</v>
      </c>
      <c r="T3" s="509" t="s">
        <v>286</v>
      </c>
      <c r="U3" s="509" t="s">
        <v>287</v>
      </c>
      <c r="V3" s="508" t="s">
        <v>288</v>
      </c>
      <c r="W3" s="1378" t="str">
        <f>"To Buy Back one week of vacation is $"&amp;ROUND(+Q11/52,2)&amp;"0 per week or $"&amp;ROUND(+Q11/52,0)/5&amp;" Per day."</f>
        <v>To Buy Back one week of vacation is $1509.60 per week or $302 Per day.</v>
      </c>
      <c r="X3" s="1379"/>
      <c r="Y3" s="1379"/>
    </row>
    <row r="4" spans="1:25" ht="14.5" customHeight="1" x14ac:dyDescent="0.35">
      <c r="A4" s="380" t="s">
        <v>36</v>
      </c>
      <c r="B4" s="143">
        <v>52894</v>
      </c>
      <c r="C4" s="97">
        <f>+B7-C6</f>
        <v>46762</v>
      </c>
      <c r="D4" s="97">
        <f>+B7-D6</f>
        <v>46762</v>
      </c>
      <c r="E4" s="97">
        <f>+B4</f>
        <v>52894</v>
      </c>
      <c r="F4" s="107"/>
      <c r="G4" s="144">
        <f>+B7-G6</f>
        <v>46322</v>
      </c>
      <c r="H4" s="144"/>
      <c r="I4" s="144">
        <f>71540-22000</f>
        <v>49540</v>
      </c>
      <c r="K4" s="144">
        <f>+K11-K6</f>
        <v>52510</v>
      </c>
      <c r="L4" s="511">
        <f>+L7-L6</f>
        <v>53618</v>
      </c>
      <c r="M4" s="511">
        <f>+I4*(1+0.02)</f>
        <v>50530.8</v>
      </c>
      <c r="N4" s="511">
        <f>+I4*(1+0.01)</f>
        <v>50035.4</v>
      </c>
      <c r="O4" s="511">
        <f>+I4</f>
        <v>49540</v>
      </c>
      <c r="P4" s="511">
        <f>+I4*(1+0.026)+1110</f>
        <v>51938.04</v>
      </c>
      <c r="Q4" s="113">
        <f>+V4</f>
        <v>56499</v>
      </c>
      <c r="R4" s="511">
        <f>+R7-R6</f>
        <v>58551</v>
      </c>
      <c r="S4" s="511">
        <f>+S7-S6</f>
        <v>54000.2</v>
      </c>
      <c r="T4" s="511">
        <f>+T7-T6</f>
        <v>53255.100000000006</v>
      </c>
      <c r="U4" s="511">
        <f>+U7-U6</f>
        <v>52510</v>
      </c>
      <c r="V4" s="511">
        <f>+V7-V6</f>
        <v>56499</v>
      </c>
      <c r="W4" s="1456" t="str">
        <f>"For 2022, 20 years of experience plus a COLA 5% per ELCA quidelines = "&amp;ROUND((+Q7-K7)/K7,3)*100&amp;"% increase due to vacation purchase."</f>
        <v>For 2022, 20 years of experience plus a COLA 5% per ELCA quidelines = 5.4% increase due to vacation purchase.</v>
      </c>
      <c r="X4" s="1457"/>
      <c r="Y4" s="1457"/>
    </row>
    <row r="5" spans="1:25" ht="8" hidden="1" customHeight="1" x14ac:dyDescent="0.35">
      <c r="A5" s="142"/>
      <c r="B5" s="145">
        <v>0.3</v>
      </c>
      <c r="C5" s="99"/>
      <c r="D5" s="99"/>
      <c r="E5" s="98">
        <v>0.3</v>
      </c>
      <c r="F5" s="146"/>
      <c r="G5" s="147"/>
      <c r="H5" s="147"/>
      <c r="I5" s="147"/>
      <c r="K5" s="147"/>
      <c r="L5" s="512"/>
      <c r="M5" s="512"/>
      <c r="N5" s="512"/>
      <c r="O5" s="512"/>
      <c r="P5" s="512"/>
      <c r="Q5" s="114"/>
      <c r="R5" s="512"/>
      <c r="S5" s="512"/>
      <c r="T5" s="512"/>
      <c r="U5" s="512"/>
      <c r="V5" s="512"/>
      <c r="W5" s="1456"/>
      <c r="X5" s="1457"/>
      <c r="Y5" s="1457"/>
    </row>
    <row r="6" spans="1:25" ht="16.5" customHeight="1" thickBot="1" x14ac:dyDescent="0.4">
      <c r="A6" s="142" t="s">
        <v>125</v>
      </c>
      <c r="B6" s="148">
        <f>ROUND(+B4*B5,0)</f>
        <v>15868</v>
      </c>
      <c r="C6" s="101">
        <v>22000</v>
      </c>
      <c r="D6" s="101">
        <f>+C6</f>
        <v>22000</v>
      </c>
      <c r="E6" s="100">
        <f>ROUND(+E4*E5,0)</f>
        <v>15868</v>
      </c>
      <c r="F6" s="104"/>
      <c r="G6" s="149">
        <v>22440</v>
      </c>
      <c r="H6" s="149"/>
      <c r="I6" s="149">
        <v>22000</v>
      </c>
      <c r="K6" s="149">
        <v>22000</v>
      </c>
      <c r="L6" s="513">
        <v>22000</v>
      </c>
      <c r="M6" s="514">
        <f>+I6*(1+0.02)</f>
        <v>22440</v>
      </c>
      <c r="N6" s="514">
        <f>+I6*(1+0.01)</f>
        <v>22220</v>
      </c>
      <c r="O6" s="514">
        <f>+I6</f>
        <v>22000</v>
      </c>
      <c r="P6" s="514">
        <f>+I6*(1+0.026)</f>
        <v>22572</v>
      </c>
      <c r="Q6" s="115">
        <v>22000</v>
      </c>
      <c r="R6" s="514">
        <f>+$Q6</f>
        <v>22000</v>
      </c>
      <c r="S6" s="514">
        <f>+$Q6</f>
        <v>22000</v>
      </c>
      <c r="T6" s="514">
        <f>+$Q6</f>
        <v>22000</v>
      </c>
      <c r="U6" s="514">
        <f>+$Q6</f>
        <v>22000</v>
      </c>
      <c r="V6" s="514">
        <f>+$Q6</f>
        <v>22000</v>
      </c>
      <c r="W6" s="1456"/>
      <c r="X6" s="1457"/>
      <c r="Y6" s="1457"/>
    </row>
    <row r="7" spans="1:25" ht="14.5" hidden="1" customHeight="1" x14ac:dyDescent="0.35">
      <c r="A7" s="142" t="s">
        <v>126</v>
      </c>
      <c r="B7" s="150">
        <f>+B4+B6</f>
        <v>68762</v>
      </c>
      <c r="C7" s="151">
        <f>+C4+C6</f>
        <v>68762</v>
      </c>
      <c r="D7" s="151">
        <f>+D4+D6</f>
        <v>68762</v>
      </c>
      <c r="E7" s="151">
        <f>+E4+E6</f>
        <v>68762</v>
      </c>
      <c r="F7" s="152"/>
      <c r="G7" s="153">
        <f>+G4+G6</f>
        <v>68762</v>
      </c>
      <c r="H7" s="153"/>
      <c r="I7" s="153">
        <f>+I4+I6</f>
        <v>71540</v>
      </c>
      <c r="K7" s="153">
        <v>74510</v>
      </c>
      <c r="L7" s="550">
        <v>75618</v>
      </c>
      <c r="M7" s="515">
        <f>+M4+M6</f>
        <v>72970.8</v>
      </c>
      <c r="N7" s="515">
        <f>+N4+N6</f>
        <v>72255.399999999994</v>
      </c>
      <c r="O7" s="515">
        <f>+O4+O6</f>
        <v>71540</v>
      </c>
      <c r="P7" s="515">
        <f>+P4+P6</f>
        <v>74510.040000000008</v>
      </c>
      <c r="Q7" s="116">
        <f>+Q4+Q6</f>
        <v>78499</v>
      </c>
      <c r="R7" s="550">
        <v>80551</v>
      </c>
      <c r="S7" s="515">
        <f>+$K7*(1+0.02)</f>
        <v>76000.2</v>
      </c>
      <c r="T7" s="515">
        <f>+$K7*(1+0.01)</f>
        <v>75255.100000000006</v>
      </c>
      <c r="U7" s="515">
        <f>+$K7*(1+0)</f>
        <v>74510</v>
      </c>
      <c r="V7" s="550">
        <f>ROUND(($K7*(1+0.026))+(R7-($K7*(1+0.026)))/2,0)</f>
        <v>78499</v>
      </c>
      <c r="W7" s="735"/>
      <c r="X7" s="736"/>
      <c r="Y7" s="736"/>
    </row>
    <row r="8" spans="1:25" ht="4" hidden="1" customHeight="1" x14ac:dyDescent="0.35">
      <c r="A8" s="154"/>
      <c r="B8" s="154"/>
      <c r="C8" s="155"/>
      <c r="D8" s="155"/>
      <c r="E8" s="155"/>
      <c r="F8" s="156"/>
      <c r="G8" s="147"/>
      <c r="H8" s="147"/>
      <c r="I8" s="147"/>
      <c r="K8" s="147"/>
      <c r="L8" s="512"/>
      <c r="M8" s="512"/>
      <c r="N8" s="512"/>
      <c r="O8" s="512"/>
      <c r="P8" s="512"/>
      <c r="Q8" s="114"/>
      <c r="R8" s="512"/>
      <c r="S8" s="512"/>
      <c r="T8" s="512"/>
      <c r="U8" s="512"/>
      <c r="V8" s="512"/>
      <c r="W8" s="735"/>
      <c r="X8" s="736"/>
      <c r="Y8" s="736"/>
    </row>
    <row r="9" spans="1:25" ht="14.5" hidden="1" customHeight="1" x14ac:dyDescent="0.35">
      <c r="A9" s="142" t="s">
        <v>132</v>
      </c>
      <c r="B9" s="154"/>
      <c r="C9" s="102">
        <f>(23/24)</f>
        <v>0.95833333333333337</v>
      </c>
      <c r="D9" s="102">
        <f>(23/24)</f>
        <v>0.95833333333333337</v>
      </c>
      <c r="E9" s="102">
        <v>1</v>
      </c>
      <c r="F9" s="103">
        <v>1</v>
      </c>
      <c r="G9" s="157">
        <v>1</v>
      </c>
      <c r="H9" s="157"/>
      <c r="I9" s="157">
        <v>1</v>
      </c>
      <c r="K9" s="157">
        <v>1</v>
      </c>
      <c r="L9" s="516">
        <v>1</v>
      </c>
      <c r="M9" s="516">
        <v>1</v>
      </c>
      <c r="N9" s="516">
        <v>1</v>
      </c>
      <c r="O9" s="516">
        <v>1</v>
      </c>
      <c r="P9" s="516">
        <v>1</v>
      </c>
      <c r="Q9" s="108">
        <v>1</v>
      </c>
      <c r="R9" s="516">
        <v>1</v>
      </c>
      <c r="S9" s="516">
        <v>1</v>
      </c>
      <c r="T9" s="516">
        <v>1</v>
      </c>
      <c r="U9" s="516">
        <v>1</v>
      </c>
      <c r="V9" s="516">
        <v>1</v>
      </c>
      <c r="W9" s="735"/>
      <c r="X9" s="736"/>
      <c r="Y9" s="736"/>
    </row>
    <row r="10" spans="1:25" ht="6.5" hidden="1" customHeight="1" x14ac:dyDescent="0.35">
      <c r="A10" s="154"/>
      <c r="B10" s="154"/>
      <c r="C10" s="155"/>
      <c r="D10" s="155"/>
      <c r="E10" s="155"/>
      <c r="F10" s="156"/>
      <c r="G10" s="147"/>
      <c r="H10" s="147"/>
      <c r="I10" s="147"/>
      <c r="K10" s="147"/>
      <c r="L10" s="512"/>
      <c r="M10" s="512"/>
      <c r="N10" s="512"/>
      <c r="O10" s="512"/>
      <c r="P10" s="512"/>
      <c r="Q10" s="114"/>
      <c r="R10" s="512"/>
      <c r="S10" s="512"/>
      <c r="T10" s="512"/>
      <c r="U10" s="512"/>
      <c r="V10" s="512"/>
      <c r="W10" s="735"/>
      <c r="X10" s="736"/>
      <c r="Y10" s="736"/>
    </row>
    <row r="11" spans="1:25" ht="14.5" hidden="1" customHeight="1" x14ac:dyDescent="0.35">
      <c r="A11" s="161" t="s">
        <v>142</v>
      </c>
      <c r="B11" s="162"/>
      <c r="C11" s="163">
        <f>+C7*C9</f>
        <v>65896.916666666672</v>
      </c>
      <c r="D11" s="163">
        <f>+D7*D9</f>
        <v>65896.916666666672</v>
      </c>
      <c r="E11" s="163">
        <f>+E7*E9</f>
        <v>68762</v>
      </c>
      <c r="F11" s="164">
        <f>+C7*F9</f>
        <v>68762</v>
      </c>
      <c r="G11" s="353">
        <f>ROUND(+G7*(1+G12),0)</f>
        <v>70137</v>
      </c>
      <c r="H11" s="165"/>
      <c r="I11" s="353">
        <f>ROUND(+I7*I9,0)</f>
        <v>71540</v>
      </c>
      <c r="K11" s="492">
        <f t="shared" ref="K11:V11" si="0">ROUND(+K7*K9,0)</f>
        <v>74510</v>
      </c>
      <c r="L11" s="519">
        <f t="shared" si="0"/>
        <v>75618</v>
      </c>
      <c r="M11" s="519">
        <f t="shared" si="0"/>
        <v>72971</v>
      </c>
      <c r="N11" s="519">
        <f t="shared" si="0"/>
        <v>72255</v>
      </c>
      <c r="O11" s="519">
        <f t="shared" si="0"/>
        <v>71540</v>
      </c>
      <c r="P11" s="519">
        <f t="shared" si="0"/>
        <v>74510</v>
      </c>
      <c r="Q11" s="118">
        <f t="shared" si="0"/>
        <v>78499</v>
      </c>
      <c r="R11" s="519">
        <f t="shared" si="0"/>
        <v>80551</v>
      </c>
      <c r="S11" s="519">
        <f t="shared" si="0"/>
        <v>76000</v>
      </c>
      <c r="T11" s="519">
        <f t="shared" si="0"/>
        <v>75255</v>
      </c>
      <c r="U11" s="519">
        <f t="shared" si="0"/>
        <v>74510</v>
      </c>
      <c r="V11" s="519">
        <f t="shared" si="0"/>
        <v>78499</v>
      </c>
      <c r="W11" s="735"/>
      <c r="X11" s="736"/>
      <c r="Y11" s="736"/>
    </row>
    <row r="12" spans="1:25" ht="15" hidden="1" thickBot="1" x14ac:dyDescent="0.4">
      <c r="A12" s="142" t="s">
        <v>406</v>
      </c>
      <c r="B12" s="154"/>
      <c r="C12" s="158">
        <v>0</v>
      </c>
      <c r="D12" s="158">
        <v>0</v>
      </c>
      <c r="E12" s="158">
        <v>0</v>
      </c>
      <c r="F12" s="159">
        <v>0</v>
      </c>
      <c r="G12" s="361">
        <v>0.02</v>
      </c>
      <c r="H12" s="160"/>
      <c r="I12" s="552">
        <f>+I11/G11-1</f>
        <v>2.0003707030525897E-2</v>
      </c>
      <c r="K12" s="552">
        <f>+K11/I11-1</f>
        <v>4.1515236231478791E-2</v>
      </c>
      <c r="L12" s="517">
        <f>+L11/O11-1</f>
        <v>5.7003075202683773E-2</v>
      </c>
      <c r="M12" s="517">
        <f>+M11/O11-1</f>
        <v>2.0002795638803361E-2</v>
      </c>
      <c r="N12" s="517">
        <f>+N11/O11-1</f>
        <v>9.9944087223931E-3</v>
      </c>
      <c r="O12" s="518">
        <v>0</v>
      </c>
      <c r="P12" s="517">
        <f>+P11/O11-1</f>
        <v>4.1515236231478791E-2</v>
      </c>
      <c r="Q12" s="385">
        <f>+Q11/K11-1</f>
        <v>5.3536438062005143E-2</v>
      </c>
      <c r="R12" s="517">
        <f>+R11/$K11-1</f>
        <v>8.1076365588511612E-2</v>
      </c>
      <c r="S12" s="517">
        <f>+S11/$K11-1</f>
        <v>1.9997315796537407E-2</v>
      </c>
      <c r="T12" s="517">
        <f>+T11/$K11-1</f>
        <v>9.9986578982687035E-3</v>
      </c>
      <c r="U12" s="517">
        <f>+U11/$K11-1</f>
        <v>0</v>
      </c>
      <c r="V12" s="517">
        <f>+V11/$K11-1</f>
        <v>5.3536438062005143E-2</v>
      </c>
      <c r="W12" s="735"/>
      <c r="X12" s="736"/>
      <c r="Y12" s="736"/>
    </row>
    <row r="13" spans="1:25" ht="15" hidden="1" customHeight="1" x14ac:dyDescent="0.35">
      <c r="A13" s="1449" t="s">
        <v>404</v>
      </c>
      <c r="B13" s="154"/>
      <c r="C13" s="155"/>
      <c r="D13" s="155"/>
      <c r="E13" s="155"/>
      <c r="F13" s="156"/>
      <c r="G13" s="147"/>
      <c r="H13" s="147"/>
      <c r="I13" s="147"/>
      <c r="K13" s="147"/>
      <c r="L13" s="512"/>
      <c r="M13" s="512"/>
      <c r="N13" s="512"/>
      <c r="O13" s="512"/>
      <c r="P13" s="512"/>
      <c r="Q13" s="114"/>
      <c r="R13" s="512"/>
      <c r="S13" s="512"/>
      <c r="T13" s="512"/>
      <c r="U13" s="512"/>
      <c r="V13" s="512"/>
      <c r="W13" s="746"/>
      <c r="X13" s="747"/>
      <c r="Y13" s="747"/>
    </row>
    <row r="14" spans="1:25" ht="14.5" hidden="1" customHeight="1" x14ac:dyDescent="0.35">
      <c r="A14" s="1449"/>
      <c r="B14" s="154"/>
      <c r="C14" s="97">
        <f>+C28</f>
        <v>0</v>
      </c>
      <c r="D14" s="97">
        <f>+D28</f>
        <v>0</v>
      </c>
      <c r="E14" s="97">
        <f>+E28</f>
        <v>8015</v>
      </c>
      <c r="F14" s="107">
        <f>+F28</f>
        <v>0</v>
      </c>
      <c r="G14" s="166">
        <f>+G30</f>
        <v>2600</v>
      </c>
      <c r="H14" s="166"/>
      <c r="I14" s="166">
        <f>+I30</f>
        <v>3467</v>
      </c>
      <c r="K14" s="166">
        <f t="shared" ref="K14:V14" si="1">+K30</f>
        <v>0</v>
      </c>
      <c r="L14" s="520">
        <f t="shared" si="1"/>
        <v>0</v>
      </c>
      <c r="M14" s="520">
        <f t="shared" si="1"/>
        <v>3467</v>
      </c>
      <c r="N14" s="520">
        <f t="shared" si="1"/>
        <v>3467</v>
      </c>
      <c r="O14" s="520">
        <f t="shared" si="1"/>
        <v>3467</v>
      </c>
      <c r="P14" s="520">
        <f t="shared" si="1"/>
        <v>3467</v>
      </c>
      <c r="Q14" s="109">
        <f t="shared" si="1"/>
        <v>0</v>
      </c>
      <c r="R14" s="520">
        <f t="shared" si="1"/>
        <v>0</v>
      </c>
      <c r="S14" s="520">
        <f t="shared" si="1"/>
        <v>0</v>
      </c>
      <c r="T14" s="520">
        <f t="shared" si="1"/>
        <v>0</v>
      </c>
      <c r="U14" s="520">
        <f t="shared" si="1"/>
        <v>0</v>
      </c>
      <c r="V14" s="520">
        <f t="shared" si="1"/>
        <v>0</v>
      </c>
      <c r="W14" s="746"/>
      <c r="X14" s="747"/>
      <c r="Y14" s="747"/>
    </row>
    <row r="15" spans="1:25" ht="8" hidden="1" customHeight="1" thickBot="1" x14ac:dyDescent="0.4">
      <c r="A15" s="167"/>
      <c r="B15" s="154"/>
      <c r="C15" s="155"/>
      <c r="D15" s="155"/>
      <c r="E15" s="155"/>
      <c r="F15" s="156"/>
      <c r="G15" s="147"/>
      <c r="H15" s="147"/>
      <c r="I15" s="147"/>
      <c r="K15" s="147"/>
      <c r="L15" s="512"/>
      <c r="M15" s="512"/>
      <c r="N15" s="512"/>
      <c r="O15" s="512"/>
      <c r="P15" s="512"/>
      <c r="Q15" s="114"/>
      <c r="R15" s="512"/>
      <c r="S15" s="512"/>
      <c r="T15" s="512"/>
      <c r="U15" s="512"/>
      <c r="V15" s="512"/>
      <c r="W15" s="720"/>
      <c r="X15" s="720"/>
      <c r="Y15" s="720"/>
    </row>
    <row r="16" spans="1:25" ht="14.5" customHeight="1" x14ac:dyDescent="0.35">
      <c r="A16" s="161" t="s">
        <v>142</v>
      </c>
      <c r="B16" s="162"/>
      <c r="C16" s="163">
        <f>+C11+C14</f>
        <v>65896.916666666672</v>
      </c>
      <c r="D16" s="163">
        <f>+D11+D14</f>
        <v>65896.916666666672</v>
      </c>
      <c r="E16" s="163">
        <f>+E11+E14</f>
        <v>76777</v>
      </c>
      <c r="F16" s="164">
        <f>+F11+F14</f>
        <v>68762</v>
      </c>
      <c r="G16" s="353">
        <f>+G11+G14</f>
        <v>72737</v>
      </c>
      <c r="H16" s="165">
        <f>50297+22440</f>
        <v>72737</v>
      </c>
      <c r="I16" s="353">
        <f>+I11+I14</f>
        <v>75007</v>
      </c>
      <c r="K16" s="353">
        <f t="shared" ref="K16:V16" si="2">+K11+K14</f>
        <v>74510</v>
      </c>
      <c r="L16" s="519">
        <f t="shared" si="2"/>
        <v>75618</v>
      </c>
      <c r="M16" s="519">
        <f t="shared" si="2"/>
        <v>76438</v>
      </c>
      <c r="N16" s="519">
        <f t="shared" si="2"/>
        <v>75722</v>
      </c>
      <c r="O16" s="519">
        <f t="shared" si="2"/>
        <v>75007</v>
      </c>
      <c r="P16" s="519">
        <f t="shared" si="2"/>
        <v>77977</v>
      </c>
      <c r="Q16" s="118">
        <f t="shared" si="2"/>
        <v>78499</v>
      </c>
      <c r="R16" s="519">
        <f t="shared" si="2"/>
        <v>80551</v>
      </c>
      <c r="S16" s="519">
        <f t="shared" si="2"/>
        <v>76000</v>
      </c>
      <c r="T16" s="519">
        <f t="shared" si="2"/>
        <v>75255</v>
      </c>
      <c r="U16" s="519">
        <f t="shared" si="2"/>
        <v>74510</v>
      </c>
      <c r="V16" s="779">
        <f t="shared" si="2"/>
        <v>78499</v>
      </c>
      <c r="W16" s="1458"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459"/>
      <c r="Y16" s="1460"/>
    </row>
    <row r="17" spans="1:25" x14ac:dyDescent="0.35">
      <c r="A17" s="154" t="s">
        <v>423</v>
      </c>
      <c r="B17" s="154"/>
      <c r="C17" s="105">
        <v>7.6499999999999999E-2</v>
      </c>
      <c r="D17" s="105">
        <v>7.6499999999999999E-2</v>
      </c>
      <c r="E17" s="105">
        <v>7.6499999999999999E-2</v>
      </c>
      <c r="F17" s="106">
        <v>7.6499999999999999E-2</v>
      </c>
      <c r="G17" s="168">
        <v>7.6499999999999999E-2</v>
      </c>
      <c r="H17" s="168">
        <v>7.6499999999999999E-2</v>
      </c>
      <c r="I17" s="168">
        <v>7.6499999999999999E-2</v>
      </c>
      <c r="K17" s="386">
        <v>7.6499999999999999E-2</v>
      </c>
      <c r="L17" s="521">
        <v>7.6499999999999999E-2</v>
      </c>
      <c r="M17" s="521">
        <v>7.6499999999999999E-2</v>
      </c>
      <c r="N17" s="521">
        <v>7.6499999999999999E-2</v>
      </c>
      <c r="O17" s="521">
        <v>7.6499999999999999E-2</v>
      </c>
      <c r="P17" s="521">
        <v>7.6499999999999999E-2</v>
      </c>
      <c r="Q17" s="560">
        <v>7.6499999999999999E-2</v>
      </c>
      <c r="R17" s="712">
        <f>+$Q17</f>
        <v>7.6499999999999999E-2</v>
      </c>
      <c r="S17" s="713">
        <f>+$Q17</f>
        <v>7.6499999999999999E-2</v>
      </c>
      <c r="T17" s="713">
        <f>+$Q17</f>
        <v>7.6499999999999999E-2</v>
      </c>
      <c r="U17" s="713">
        <f>+$Q17</f>
        <v>7.6499999999999999E-2</v>
      </c>
      <c r="V17" s="782">
        <f>+$Q17</f>
        <v>7.6499999999999999E-2</v>
      </c>
      <c r="W17" s="1461"/>
      <c r="X17" s="1462"/>
      <c r="Y17" s="1463"/>
    </row>
    <row r="18" spans="1:25" x14ac:dyDescent="0.35">
      <c r="A18" s="154" t="s">
        <v>233</v>
      </c>
      <c r="B18" s="154"/>
      <c r="C18" s="97">
        <f t="shared" ref="C18:H18" si="3">+C16*C17</f>
        <v>5041.1141250000001</v>
      </c>
      <c r="D18" s="97">
        <f t="shared" si="3"/>
        <v>5041.1141250000001</v>
      </c>
      <c r="E18" s="97">
        <f t="shared" si="3"/>
        <v>5873.4404999999997</v>
      </c>
      <c r="F18" s="107">
        <f t="shared" si="3"/>
        <v>5260.2929999999997</v>
      </c>
      <c r="G18" s="166">
        <f t="shared" si="3"/>
        <v>5564.3805000000002</v>
      </c>
      <c r="H18" s="166">
        <f t="shared" si="3"/>
        <v>5564.3805000000002</v>
      </c>
      <c r="I18" s="166">
        <f>ROUND(+I16*I17,0)</f>
        <v>5738</v>
      </c>
      <c r="J18" s="117"/>
      <c r="K18" s="166">
        <f t="shared" ref="K18:V18" si="4">ROUND(+K16*K17,0)</f>
        <v>5700</v>
      </c>
      <c r="L18" s="520">
        <f t="shared" si="4"/>
        <v>5785</v>
      </c>
      <c r="M18" s="520">
        <f t="shared" si="4"/>
        <v>5848</v>
      </c>
      <c r="N18" s="520">
        <f t="shared" si="4"/>
        <v>5793</v>
      </c>
      <c r="O18" s="520">
        <f t="shared" si="4"/>
        <v>5738</v>
      </c>
      <c r="P18" s="520">
        <f t="shared" si="4"/>
        <v>5965</v>
      </c>
      <c r="Q18" s="109">
        <f t="shared" si="4"/>
        <v>6005</v>
      </c>
      <c r="R18" s="520">
        <f t="shared" si="4"/>
        <v>6162</v>
      </c>
      <c r="S18" s="520">
        <f t="shared" si="4"/>
        <v>5814</v>
      </c>
      <c r="T18" s="520">
        <f t="shared" si="4"/>
        <v>5757</v>
      </c>
      <c r="U18" s="520">
        <f t="shared" si="4"/>
        <v>5700</v>
      </c>
      <c r="V18" s="777">
        <f t="shared" si="4"/>
        <v>6005</v>
      </c>
      <c r="W18" s="1461"/>
      <c r="X18" s="1462"/>
      <c r="Y18" s="1463"/>
    </row>
    <row r="19" spans="1:25" ht="15" thickBot="1" x14ac:dyDescent="0.4">
      <c r="A19" s="169" t="s">
        <v>144</v>
      </c>
      <c r="B19" s="170"/>
      <c r="C19" s="171">
        <f t="shared" ref="C19:I19" si="5">+C16+C18</f>
        <v>70938.030791666679</v>
      </c>
      <c r="D19" s="171">
        <f t="shared" si="5"/>
        <v>70938.030791666679</v>
      </c>
      <c r="E19" s="171">
        <f t="shared" si="5"/>
        <v>82650.440499999997</v>
      </c>
      <c r="F19" s="172">
        <f t="shared" si="5"/>
        <v>74022.293000000005</v>
      </c>
      <c r="G19" s="173">
        <f t="shared" si="5"/>
        <v>78301.380499999999</v>
      </c>
      <c r="H19" s="173">
        <f t="shared" si="5"/>
        <v>78301.380499999999</v>
      </c>
      <c r="I19" s="173">
        <f t="shared" si="5"/>
        <v>80745</v>
      </c>
      <c r="K19" s="173">
        <f t="shared" ref="K19:V19" si="6">+K16+K18</f>
        <v>80210</v>
      </c>
      <c r="L19" s="522">
        <f t="shared" si="6"/>
        <v>81403</v>
      </c>
      <c r="M19" s="522">
        <f t="shared" si="6"/>
        <v>82286</v>
      </c>
      <c r="N19" s="522">
        <f t="shared" si="6"/>
        <v>81515</v>
      </c>
      <c r="O19" s="522">
        <f t="shared" si="6"/>
        <v>80745</v>
      </c>
      <c r="P19" s="522">
        <f t="shared" si="6"/>
        <v>83942</v>
      </c>
      <c r="Q19" s="120">
        <f t="shared" si="6"/>
        <v>84504</v>
      </c>
      <c r="R19" s="522">
        <f t="shared" si="6"/>
        <v>86713</v>
      </c>
      <c r="S19" s="522">
        <f t="shared" si="6"/>
        <v>81814</v>
      </c>
      <c r="T19" s="522">
        <f t="shared" si="6"/>
        <v>81012</v>
      </c>
      <c r="U19" s="522">
        <f t="shared" si="6"/>
        <v>80210</v>
      </c>
      <c r="V19" s="781">
        <f t="shared" si="6"/>
        <v>84504</v>
      </c>
      <c r="W19" s="1464"/>
      <c r="X19" s="1465"/>
      <c r="Y19" s="1466"/>
    </row>
    <row r="20" spans="1:25" x14ac:dyDescent="0.35">
      <c r="A20" s="174"/>
      <c r="B20" s="174"/>
      <c r="C20" s="174"/>
      <c r="D20" s="174"/>
      <c r="E20" s="174"/>
      <c r="F20" s="174"/>
      <c r="G20" s="174"/>
      <c r="H20" s="174"/>
      <c r="I20" s="174"/>
      <c r="K20" s="174"/>
      <c r="L20" s="174"/>
      <c r="M20" s="174"/>
      <c r="N20" s="174"/>
      <c r="O20" s="174"/>
      <c r="P20" s="174"/>
      <c r="Q20" s="174"/>
      <c r="R20" s="174"/>
      <c r="S20" s="174"/>
      <c r="T20" s="174"/>
      <c r="U20" s="174"/>
      <c r="V20" s="174"/>
      <c r="W20" s="785"/>
      <c r="X20" s="785"/>
      <c r="Y20" s="785"/>
    </row>
    <row r="21" spans="1:25" x14ac:dyDescent="0.35">
      <c r="A21" s="175" t="s">
        <v>149</v>
      </c>
      <c r="B21" s="140"/>
      <c r="C21" s="176"/>
      <c r="D21" s="176"/>
      <c r="E21" s="176"/>
      <c r="F21" s="177"/>
      <c r="G21" s="141"/>
      <c r="H21" s="177"/>
      <c r="I21" s="141"/>
      <c r="K21" s="141"/>
      <c r="L21" s="510"/>
      <c r="M21" s="523"/>
      <c r="N21" s="523"/>
      <c r="O21" s="523"/>
      <c r="P21" s="523"/>
      <c r="Q21" s="112"/>
      <c r="R21" s="510"/>
      <c r="S21" s="523"/>
      <c r="T21" s="523"/>
      <c r="U21" s="523"/>
      <c r="V21" s="783"/>
      <c r="W21" s="785"/>
      <c r="X21" s="785"/>
      <c r="Y21" s="785"/>
    </row>
    <row r="22" spans="1:25" x14ac:dyDescent="0.35">
      <c r="A22" s="154" t="s">
        <v>145</v>
      </c>
      <c r="B22" s="154"/>
      <c r="C22" s="97">
        <f>6011.15*C9</f>
        <v>5760.6854166666662</v>
      </c>
      <c r="D22" s="97"/>
      <c r="E22" s="97">
        <f>6011.15*E9</f>
        <v>6011.15</v>
      </c>
      <c r="F22" s="107">
        <f>6011.15</f>
        <v>6011.15</v>
      </c>
      <c r="G22" s="358">
        <v>4973</v>
      </c>
      <c r="H22" s="104"/>
      <c r="I22" s="358">
        <v>5121</v>
      </c>
      <c r="J22" s="490"/>
      <c r="K22" s="358">
        <v>5121</v>
      </c>
      <c r="L22" s="524">
        <v>5121</v>
      </c>
      <c r="M22" s="525">
        <v>5121</v>
      </c>
      <c r="N22" s="525">
        <v>5121</v>
      </c>
      <c r="O22" s="525">
        <v>5121</v>
      </c>
      <c r="P22" s="525">
        <v>5121</v>
      </c>
      <c r="Q22" s="559">
        <v>5385</v>
      </c>
      <c r="R22" s="520">
        <f>+$Q22</f>
        <v>5385</v>
      </c>
      <c r="S22" s="520">
        <f t="shared" ref="S22:V23" si="7">+$Q22</f>
        <v>5385</v>
      </c>
      <c r="T22" s="520">
        <f t="shared" si="7"/>
        <v>5385</v>
      </c>
      <c r="U22" s="520">
        <f t="shared" si="7"/>
        <v>5385</v>
      </c>
      <c r="V22" s="520">
        <f t="shared" si="7"/>
        <v>5385</v>
      </c>
      <c r="W22" s="110" t="s">
        <v>384</v>
      </c>
    </row>
    <row r="23" spans="1:25" x14ac:dyDescent="0.35">
      <c r="A23" s="154" t="s">
        <v>166</v>
      </c>
      <c r="B23" s="154"/>
      <c r="C23" s="96">
        <v>0</v>
      </c>
      <c r="D23" s="96">
        <v>0</v>
      </c>
      <c r="E23" s="96">
        <v>0</v>
      </c>
      <c r="F23" s="104">
        <v>0</v>
      </c>
      <c r="G23" s="358">
        <v>2600</v>
      </c>
      <c r="H23" s="104"/>
      <c r="I23" s="358">
        <v>2600</v>
      </c>
      <c r="J23" s="117"/>
      <c r="K23" s="358">
        <v>2600</v>
      </c>
      <c r="L23" s="524">
        <v>2600</v>
      </c>
      <c r="M23" s="525">
        <v>2600</v>
      </c>
      <c r="N23" s="525">
        <v>2600</v>
      </c>
      <c r="O23" s="525">
        <v>2600</v>
      </c>
      <c r="P23" s="525">
        <v>2600</v>
      </c>
      <c r="Q23" s="559">
        <v>4420</v>
      </c>
      <c r="R23" s="520">
        <f>+$Q23</f>
        <v>4420</v>
      </c>
      <c r="S23" s="520">
        <f t="shared" si="7"/>
        <v>4420</v>
      </c>
      <c r="T23" s="520">
        <f t="shared" si="7"/>
        <v>4420</v>
      </c>
      <c r="U23" s="520">
        <f t="shared" si="7"/>
        <v>4420</v>
      </c>
      <c r="V23" s="520">
        <f t="shared" si="7"/>
        <v>4420</v>
      </c>
      <c r="W23" s="110" t="s">
        <v>384</v>
      </c>
    </row>
    <row r="24" spans="1:25" ht="14.5" hidden="1" customHeight="1" x14ac:dyDescent="0.35">
      <c r="A24" s="154" t="s">
        <v>167</v>
      </c>
      <c r="B24" s="154"/>
      <c r="C24" s="97">
        <f>+C22+C23</f>
        <v>5760.6854166666662</v>
      </c>
      <c r="D24" s="97">
        <f>+D22+D23</f>
        <v>0</v>
      </c>
      <c r="E24" s="97">
        <f>+E22+E23</f>
        <v>6011.15</v>
      </c>
      <c r="F24" s="107">
        <f>+F22+F23</f>
        <v>6011.15</v>
      </c>
      <c r="G24" s="166">
        <f>+G22+G23</f>
        <v>7573</v>
      </c>
      <c r="H24" s="104"/>
      <c r="I24" s="166">
        <f>+I22+I23</f>
        <v>7721</v>
      </c>
      <c r="J24" s="1453" t="s">
        <v>240</v>
      </c>
      <c r="K24" s="166">
        <f t="shared" ref="K24:V24" si="8">+K22+K23</f>
        <v>7721</v>
      </c>
      <c r="L24" s="520">
        <f t="shared" si="8"/>
        <v>7721</v>
      </c>
      <c r="M24" s="526">
        <f t="shared" si="8"/>
        <v>7721</v>
      </c>
      <c r="N24" s="526">
        <f t="shared" si="8"/>
        <v>7721</v>
      </c>
      <c r="O24" s="526">
        <f t="shared" si="8"/>
        <v>7721</v>
      </c>
      <c r="P24" s="526">
        <f t="shared" si="8"/>
        <v>7721</v>
      </c>
      <c r="Q24" s="109">
        <f t="shared" si="8"/>
        <v>9805</v>
      </c>
      <c r="R24" s="520">
        <f t="shared" si="8"/>
        <v>9805</v>
      </c>
      <c r="S24" s="526">
        <f t="shared" si="8"/>
        <v>9805</v>
      </c>
      <c r="T24" s="526">
        <f t="shared" si="8"/>
        <v>9805</v>
      </c>
      <c r="U24" s="526">
        <f t="shared" si="8"/>
        <v>9805</v>
      </c>
      <c r="V24" s="526">
        <f t="shared" si="8"/>
        <v>9805</v>
      </c>
    </row>
    <row r="25" spans="1:25" ht="5" hidden="1" customHeight="1" x14ac:dyDescent="0.35">
      <c r="A25" s="154"/>
      <c r="B25" s="154"/>
      <c r="C25" s="105">
        <v>0.25</v>
      </c>
      <c r="D25" s="105"/>
      <c r="E25" s="105">
        <v>0.25</v>
      </c>
      <c r="F25" s="106">
        <v>0.25</v>
      </c>
      <c r="G25" s="386">
        <v>0.25</v>
      </c>
      <c r="H25" s="106"/>
      <c r="I25" s="386"/>
      <c r="J25" s="1453"/>
      <c r="K25" s="386"/>
      <c r="L25" s="527"/>
      <c r="M25" s="528"/>
      <c r="N25" s="528"/>
      <c r="O25" s="528"/>
      <c r="P25" s="528"/>
      <c r="Q25" s="560"/>
      <c r="R25" s="527"/>
      <c r="S25" s="528"/>
      <c r="T25" s="528"/>
      <c r="U25" s="528"/>
      <c r="V25" s="528"/>
    </row>
    <row r="26" spans="1:25" hidden="1" x14ac:dyDescent="0.35">
      <c r="A26" s="162" t="s">
        <v>147</v>
      </c>
      <c r="B26" s="162"/>
      <c r="C26" s="178">
        <f>ROUND(+C24/(1-C25),0)</f>
        <v>7681</v>
      </c>
      <c r="D26" s="179">
        <v>8015</v>
      </c>
      <c r="E26" s="178">
        <f>ROUND(+E24/(1-E25),0)</f>
        <v>8015</v>
      </c>
      <c r="F26" s="178">
        <f>ROUND(+F24/(1-F25),0)</f>
        <v>8015</v>
      </c>
      <c r="G26" s="359">
        <f>ROUND(+G24/(1-G25),0)</f>
        <v>10097</v>
      </c>
      <c r="H26" s="180"/>
      <c r="I26" s="359">
        <f>+I24</f>
        <v>7721</v>
      </c>
      <c r="J26" s="1453"/>
      <c r="K26" s="359">
        <f>+K22+K23</f>
        <v>7721</v>
      </c>
      <c r="L26" s="529">
        <f>+L24</f>
        <v>7721</v>
      </c>
      <c r="M26" s="530">
        <f>+M24</f>
        <v>7721</v>
      </c>
      <c r="N26" s="530">
        <f>+N24</f>
        <v>7721</v>
      </c>
      <c r="O26" s="530">
        <f>+O24</f>
        <v>7721</v>
      </c>
      <c r="P26" s="530">
        <f>+P24</f>
        <v>7721</v>
      </c>
      <c r="Q26" s="561">
        <f>+Q22+Q23</f>
        <v>9805</v>
      </c>
      <c r="R26" s="529">
        <f>+R24</f>
        <v>9805</v>
      </c>
      <c r="S26" s="530">
        <f>+S24</f>
        <v>9805</v>
      </c>
      <c r="T26" s="530">
        <f>+T24</f>
        <v>9805</v>
      </c>
      <c r="U26" s="530">
        <f>+U24</f>
        <v>9805</v>
      </c>
      <c r="V26" s="530">
        <f>+V24</f>
        <v>9805</v>
      </c>
      <c r="W26" s="110" t="s">
        <v>422</v>
      </c>
    </row>
    <row r="27" spans="1:25" ht="3.5" hidden="1" customHeight="1" x14ac:dyDescent="0.35">
      <c r="A27" s="154"/>
      <c r="B27" s="154"/>
      <c r="C27" s="97"/>
      <c r="D27" s="97"/>
      <c r="E27" s="97"/>
      <c r="F27" s="156"/>
      <c r="G27" s="147"/>
      <c r="H27" s="156"/>
      <c r="I27" s="147"/>
      <c r="J27" s="1453"/>
      <c r="K27" s="147"/>
      <c r="L27" s="512"/>
      <c r="M27" s="531"/>
      <c r="N27" s="531"/>
      <c r="O27" s="531"/>
      <c r="P27" s="531"/>
      <c r="Q27" s="114"/>
      <c r="R27" s="512"/>
      <c r="S27" s="531"/>
      <c r="T27" s="531"/>
      <c r="U27" s="531"/>
      <c r="V27" s="531"/>
    </row>
    <row r="28" spans="1:25" hidden="1" x14ac:dyDescent="0.35">
      <c r="A28" s="154" t="s">
        <v>241</v>
      </c>
      <c r="B28" s="154"/>
      <c r="C28" s="96">
        <v>0</v>
      </c>
      <c r="D28" s="96">
        <v>0</v>
      </c>
      <c r="E28" s="96">
        <v>8015</v>
      </c>
      <c r="F28" s="104">
        <v>0</v>
      </c>
      <c r="G28" s="358"/>
      <c r="H28" s="104"/>
      <c r="I28" s="358">
        <v>2600</v>
      </c>
      <c r="J28" s="1453"/>
      <c r="K28" s="358">
        <v>0</v>
      </c>
      <c r="L28" s="524">
        <v>0</v>
      </c>
      <c r="M28" s="525">
        <v>2600</v>
      </c>
      <c r="N28" s="525">
        <v>2600</v>
      </c>
      <c r="O28" s="525">
        <v>2600</v>
      </c>
      <c r="P28" s="525">
        <v>2600</v>
      </c>
      <c r="Q28" s="559">
        <v>0</v>
      </c>
      <c r="R28" s="520">
        <f t="shared" ref="R28:V29" si="9">+$Q28</f>
        <v>0</v>
      </c>
      <c r="S28" s="520">
        <f t="shared" si="9"/>
        <v>0</v>
      </c>
      <c r="T28" s="520">
        <f t="shared" si="9"/>
        <v>0</v>
      </c>
      <c r="U28" s="520">
        <f t="shared" si="9"/>
        <v>0</v>
      </c>
      <c r="V28" s="520">
        <f t="shared" si="9"/>
        <v>0</v>
      </c>
    </row>
    <row r="29" spans="1:25" hidden="1" x14ac:dyDescent="0.35">
      <c r="A29" s="154" t="s">
        <v>407</v>
      </c>
      <c r="B29" s="154"/>
      <c r="C29" s="105">
        <v>0.25</v>
      </c>
      <c r="D29" s="105"/>
      <c r="E29" s="105">
        <v>0.25</v>
      </c>
      <c r="F29" s="106">
        <v>0.25</v>
      </c>
      <c r="G29" s="168"/>
      <c r="H29" s="106"/>
      <c r="I29" s="386">
        <v>0.25</v>
      </c>
      <c r="J29" s="1453"/>
      <c r="K29" s="386">
        <v>0.25</v>
      </c>
      <c r="L29" s="527">
        <v>0.25</v>
      </c>
      <c r="M29" s="528">
        <v>0.25</v>
      </c>
      <c r="N29" s="528">
        <v>0.25</v>
      </c>
      <c r="O29" s="528">
        <v>0.25</v>
      </c>
      <c r="P29" s="528">
        <v>0.25</v>
      </c>
      <c r="Q29" s="560">
        <v>0.25</v>
      </c>
      <c r="R29" s="712">
        <f t="shared" si="9"/>
        <v>0.25</v>
      </c>
      <c r="S29" s="712">
        <f t="shared" si="9"/>
        <v>0.25</v>
      </c>
      <c r="T29" s="712">
        <f t="shared" si="9"/>
        <v>0.25</v>
      </c>
      <c r="U29" s="712">
        <f t="shared" si="9"/>
        <v>0.25</v>
      </c>
      <c r="V29" s="712">
        <f t="shared" si="9"/>
        <v>0.25</v>
      </c>
    </row>
    <row r="30" spans="1:25" hidden="1" x14ac:dyDescent="0.35">
      <c r="A30" s="162" t="s">
        <v>266</v>
      </c>
      <c r="B30" s="162"/>
      <c r="C30" s="388"/>
      <c r="D30" s="388"/>
      <c r="E30" s="388"/>
      <c r="F30" s="389"/>
      <c r="G30" s="390">
        <v>2600</v>
      </c>
      <c r="H30" s="389"/>
      <c r="I30" s="359">
        <f>ROUND(+I28/(1-I29),0)</f>
        <v>3467</v>
      </c>
      <c r="J30" s="387"/>
      <c r="K30" s="359">
        <f t="shared" ref="K30:V30" si="10">ROUND(+K28/(1-K29),0)</f>
        <v>0</v>
      </c>
      <c r="L30" s="529">
        <f t="shared" si="10"/>
        <v>0</v>
      </c>
      <c r="M30" s="530">
        <f t="shared" si="10"/>
        <v>3467</v>
      </c>
      <c r="N30" s="530">
        <f t="shared" si="10"/>
        <v>3467</v>
      </c>
      <c r="O30" s="530">
        <f t="shared" si="10"/>
        <v>3467</v>
      </c>
      <c r="P30" s="530">
        <f t="shared" si="10"/>
        <v>3467</v>
      </c>
      <c r="Q30" s="561">
        <f t="shared" si="10"/>
        <v>0</v>
      </c>
      <c r="R30" s="529">
        <f t="shared" si="10"/>
        <v>0</v>
      </c>
      <c r="S30" s="530">
        <f t="shared" si="10"/>
        <v>0</v>
      </c>
      <c r="T30" s="530">
        <f t="shared" si="10"/>
        <v>0</v>
      </c>
      <c r="U30" s="530">
        <f t="shared" si="10"/>
        <v>0</v>
      </c>
      <c r="V30" s="530">
        <f t="shared" si="10"/>
        <v>0</v>
      </c>
    </row>
    <row r="31" spans="1:25" x14ac:dyDescent="0.35">
      <c r="A31" s="169" t="s">
        <v>148</v>
      </c>
      <c r="B31" s="169"/>
      <c r="C31" s="171">
        <f>+C26-C28</f>
        <v>7681</v>
      </c>
      <c r="D31" s="171">
        <f>+D26-D28</f>
        <v>8015</v>
      </c>
      <c r="E31" s="171">
        <f>+E26-E28</f>
        <v>0</v>
      </c>
      <c r="F31" s="172">
        <f>+F26-F28</f>
        <v>8015</v>
      </c>
      <c r="G31" s="173">
        <f>+G26-G30</f>
        <v>7497</v>
      </c>
      <c r="H31" s="172"/>
      <c r="I31" s="173">
        <f>+I24-I28</f>
        <v>5121</v>
      </c>
      <c r="K31" s="173">
        <f t="shared" ref="K31:V31" si="11">+K24-K28</f>
        <v>7721</v>
      </c>
      <c r="L31" s="522">
        <f t="shared" si="11"/>
        <v>7721</v>
      </c>
      <c r="M31" s="532">
        <f t="shared" si="11"/>
        <v>5121</v>
      </c>
      <c r="N31" s="532">
        <f t="shared" si="11"/>
        <v>5121</v>
      </c>
      <c r="O31" s="532">
        <f t="shared" si="11"/>
        <v>5121</v>
      </c>
      <c r="P31" s="532">
        <f t="shared" si="11"/>
        <v>5121</v>
      </c>
      <c r="Q31" s="120">
        <f t="shared" si="11"/>
        <v>9805</v>
      </c>
      <c r="R31" s="522">
        <f t="shared" si="11"/>
        <v>9805</v>
      </c>
      <c r="S31" s="532">
        <f t="shared" si="11"/>
        <v>9805</v>
      </c>
      <c r="T31" s="532">
        <f t="shared" si="11"/>
        <v>9805</v>
      </c>
      <c r="U31" s="532">
        <f t="shared" si="11"/>
        <v>9805</v>
      </c>
      <c r="V31" s="532">
        <f t="shared" si="11"/>
        <v>9805</v>
      </c>
    </row>
    <row r="32" spans="1:25" x14ac:dyDescent="0.35">
      <c r="A32" s="174"/>
      <c r="B32" s="174"/>
      <c r="C32" s="174"/>
      <c r="D32" s="174"/>
      <c r="E32" s="174"/>
      <c r="F32" s="174"/>
      <c r="G32" s="174"/>
      <c r="H32" s="174"/>
      <c r="I32" s="174"/>
      <c r="K32" s="174"/>
      <c r="L32" s="174"/>
      <c r="M32" s="174"/>
      <c r="N32" s="174"/>
      <c r="O32" s="174"/>
      <c r="P32" s="174"/>
      <c r="Q32" s="174"/>
      <c r="R32" s="174"/>
      <c r="S32" s="174"/>
      <c r="T32" s="174"/>
      <c r="U32" s="174"/>
      <c r="V32" s="174"/>
    </row>
    <row r="33" spans="1:22" x14ac:dyDescent="0.35">
      <c r="A33" s="175" t="s">
        <v>408</v>
      </c>
      <c r="B33" s="140"/>
      <c r="C33" s="181">
        <v>0.11</v>
      </c>
      <c r="D33" s="181">
        <v>0.11</v>
      </c>
      <c r="E33" s="181">
        <v>0.11</v>
      </c>
      <c r="F33" s="181">
        <v>0.11</v>
      </c>
      <c r="G33" s="360">
        <v>0.11</v>
      </c>
      <c r="H33" s="181"/>
      <c r="I33" s="360">
        <v>0.11</v>
      </c>
      <c r="K33" s="360">
        <v>0.11</v>
      </c>
      <c r="L33" s="538">
        <v>0.11</v>
      </c>
      <c r="M33" s="533">
        <v>0.11</v>
      </c>
      <c r="N33" s="533">
        <v>0.11</v>
      </c>
      <c r="O33" s="533">
        <v>0.11</v>
      </c>
      <c r="P33" s="533">
        <v>0.11</v>
      </c>
      <c r="Q33" s="555">
        <v>0.11</v>
      </c>
      <c r="R33" s="711">
        <f>+$Q33</f>
        <v>0.11</v>
      </c>
      <c r="S33" s="711">
        <f>+$Q33</f>
        <v>0.11</v>
      </c>
      <c r="T33" s="711">
        <f>+$Q33</f>
        <v>0.11</v>
      </c>
      <c r="U33" s="711">
        <f>+$Q33</f>
        <v>0.11</v>
      </c>
      <c r="V33" s="711">
        <f>+$Q33</f>
        <v>0.11</v>
      </c>
    </row>
    <row r="34" spans="1:22" x14ac:dyDescent="0.35">
      <c r="A34" s="154" t="s">
        <v>152</v>
      </c>
      <c r="B34" s="154"/>
      <c r="C34" s="127">
        <f>+C19</f>
        <v>70938.030791666679</v>
      </c>
      <c r="D34" s="127">
        <f>+D19</f>
        <v>70938.030791666679</v>
      </c>
      <c r="E34" s="127">
        <f>+E19</f>
        <v>82650.440499999997</v>
      </c>
      <c r="F34" s="127">
        <f>+F19</f>
        <v>74022.293000000005</v>
      </c>
      <c r="G34" s="144">
        <f>+G19</f>
        <v>78301.380499999999</v>
      </c>
      <c r="H34" s="127"/>
      <c r="I34" s="144">
        <f>+I19</f>
        <v>80745</v>
      </c>
      <c r="K34" s="144">
        <f t="shared" ref="K34:V34" si="12">+K19</f>
        <v>80210</v>
      </c>
      <c r="L34" s="511">
        <f t="shared" si="12"/>
        <v>81403</v>
      </c>
      <c r="M34" s="534">
        <f t="shared" si="12"/>
        <v>82286</v>
      </c>
      <c r="N34" s="534">
        <f t="shared" si="12"/>
        <v>81515</v>
      </c>
      <c r="O34" s="534">
        <f t="shared" si="12"/>
        <v>80745</v>
      </c>
      <c r="P34" s="534">
        <f t="shared" si="12"/>
        <v>83942</v>
      </c>
      <c r="Q34" s="113">
        <f t="shared" si="12"/>
        <v>84504</v>
      </c>
      <c r="R34" s="511">
        <f t="shared" si="12"/>
        <v>86713</v>
      </c>
      <c r="S34" s="534">
        <f t="shared" si="12"/>
        <v>81814</v>
      </c>
      <c r="T34" s="534">
        <f t="shared" si="12"/>
        <v>81012</v>
      </c>
      <c r="U34" s="534">
        <f t="shared" si="12"/>
        <v>80210</v>
      </c>
      <c r="V34" s="534">
        <f t="shared" si="12"/>
        <v>84504</v>
      </c>
    </row>
    <row r="35" spans="1:22" x14ac:dyDescent="0.35">
      <c r="A35" s="154" t="s">
        <v>127</v>
      </c>
      <c r="B35" s="154"/>
      <c r="C35" s="127">
        <f>+C34*C33</f>
        <v>7803.1833870833343</v>
      </c>
      <c r="D35" s="183">
        <f>((+D34+D36)+(D17*D26))*D33</f>
        <v>8752.2796120833355</v>
      </c>
      <c r="E35" s="127">
        <f>+E34*E33</f>
        <v>9091.5484550000001</v>
      </c>
      <c r="F35" s="127">
        <f>+F34*F33</f>
        <v>8142.4522300000008</v>
      </c>
      <c r="G35" s="144">
        <f>ROUND(+G34*G33,0)</f>
        <v>8613</v>
      </c>
      <c r="H35" s="191">
        <v>8613</v>
      </c>
      <c r="I35" s="144">
        <f>ROUND(+I34*I33,0)</f>
        <v>8882</v>
      </c>
      <c r="K35" s="144">
        <f t="shared" ref="K35:V35" si="13">ROUND(+K34*K33,0)</f>
        <v>8823</v>
      </c>
      <c r="L35" s="511">
        <f t="shared" si="13"/>
        <v>8954</v>
      </c>
      <c r="M35" s="534">
        <f t="shared" si="13"/>
        <v>9051</v>
      </c>
      <c r="N35" s="534">
        <f t="shared" si="13"/>
        <v>8967</v>
      </c>
      <c r="O35" s="534">
        <f t="shared" si="13"/>
        <v>8882</v>
      </c>
      <c r="P35" s="534">
        <f t="shared" si="13"/>
        <v>9234</v>
      </c>
      <c r="Q35" s="113">
        <f t="shared" si="13"/>
        <v>9295</v>
      </c>
      <c r="R35" s="511">
        <f t="shared" si="13"/>
        <v>9538</v>
      </c>
      <c r="S35" s="534">
        <f t="shared" si="13"/>
        <v>9000</v>
      </c>
      <c r="T35" s="534">
        <f t="shared" si="13"/>
        <v>8911</v>
      </c>
      <c r="U35" s="534">
        <f t="shared" si="13"/>
        <v>8823</v>
      </c>
      <c r="V35" s="534">
        <f t="shared" si="13"/>
        <v>9295</v>
      </c>
    </row>
    <row r="36" spans="1:22" x14ac:dyDescent="0.35">
      <c r="A36" s="154" t="s">
        <v>150</v>
      </c>
      <c r="B36" s="154"/>
      <c r="C36" s="127">
        <f>+C31</f>
        <v>7681</v>
      </c>
      <c r="D36" s="127">
        <f>+D31</f>
        <v>8015</v>
      </c>
      <c r="E36" s="127">
        <f>+E31</f>
        <v>0</v>
      </c>
      <c r="F36" s="127">
        <f>+F31</f>
        <v>8015</v>
      </c>
      <c r="G36" s="144">
        <f>+G31</f>
        <v>7497</v>
      </c>
      <c r="H36" s="191">
        <v>5090</v>
      </c>
      <c r="I36" s="144">
        <f>+I31</f>
        <v>5121</v>
      </c>
      <c r="K36" s="144">
        <f t="shared" ref="K36:V36" si="14">+K31</f>
        <v>7721</v>
      </c>
      <c r="L36" s="511">
        <f t="shared" si="14"/>
        <v>7721</v>
      </c>
      <c r="M36" s="534">
        <f t="shared" si="14"/>
        <v>5121</v>
      </c>
      <c r="N36" s="534">
        <f t="shared" si="14"/>
        <v>5121</v>
      </c>
      <c r="O36" s="534">
        <f t="shared" si="14"/>
        <v>5121</v>
      </c>
      <c r="P36" s="534">
        <f t="shared" si="14"/>
        <v>5121</v>
      </c>
      <c r="Q36" s="113">
        <f t="shared" si="14"/>
        <v>9805</v>
      </c>
      <c r="R36" s="511">
        <f t="shared" si="14"/>
        <v>9805</v>
      </c>
      <c r="S36" s="534">
        <f t="shared" si="14"/>
        <v>9805</v>
      </c>
      <c r="T36" s="534">
        <f t="shared" si="14"/>
        <v>9805</v>
      </c>
      <c r="U36" s="534">
        <f t="shared" si="14"/>
        <v>9805</v>
      </c>
      <c r="V36" s="534">
        <f t="shared" si="14"/>
        <v>9805</v>
      </c>
    </row>
    <row r="37" spans="1:22" x14ac:dyDescent="0.35">
      <c r="A37" s="395" t="s">
        <v>243</v>
      </c>
      <c r="B37" s="395"/>
      <c r="C37" s="396">
        <f t="shared" ref="C37:H37" si="15">+C35+C36</f>
        <v>15484.183387083334</v>
      </c>
      <c r="D37" s="396">
        <f t="shared" si="15"/>
        <v>16767.279612083337</v>
      </c>
      <c r="E37" s="396">
        <f t="shared" si="15"/>
        <v>9091.5484550000001</v>
      </c>
      <c r="F37" s="396">
        <f t="shared" si="15"/>
        <v>16157.452230000001</v>
      </c>
      <c r="G37" s="397">
        <f t="shared" si="15"/>
        <v>16110</v>
      </c>
      <c r="H37" s="569">
        <f t="shared" si="15"/>
        <v>13703</v>
      </c>
      <c r="I37" s="397">
        <f t="shared" ref="I37:Q37" si="16">+I35+I36</f>
        <v>14003</v>
      </c>
      <c r="K37" s="397">
        <f>+K35+K36</f>
        <v>16544</v>
      </c>
      <c r="L37" s="539">
        <f t="shared" si="16"/>
        <v>16675</v>
      </c>
      <c r="M37" s="535">
        <f t="shared" si="16"/>
        <v>14172</v>
      </c>
      <c r="N37" s="535">
        <f t="shared" si="16"/>
        <v>14088</v>
      </c>
      <c r="O37" s="535">
        <f>+O35+O36</f>
        <v>14003</v>
      </c>
      <c r="P37" s="535">
        <f t="shared" si="16"/>
        <v>14355</v>
      </c>
      <c r="Q37" s="556">
        <f t="shared" si="16"/>
        <v>19100</v>
      </c>
      <c r="R37" s="539">
        <f>+R35+R36</f>
        <v>19343</v>
      </c>
      <c r="S37" s="535">
        <f>+S35+S36</f>
        <v>18805</v>
      </c>
      <c r="T37" s="535">
        <f>+T35+T36</f>
        <v>18716</v>
      </c>
      <c r="U37" s="535">
        <f>+U35+U36</f>
        <v>18628</v>
      </c>
      <c r="V37" s="535">
        <f>+V35+V36</f>
        <v>19100</v>
      </c>
    </row>
    <row r="38" spans="1:22" x14ac:dyDescent="0.35">
      <c r="A38" s="154" t="s">
        <v>154</v>
      </c>
      <c r="B38" s="154"/>
      <c r="C38" s="391">
        <f>+C37/C34</f>
        <v>0.21827760390696258</v>
      </c>
      <c r="D38" s="391">
        <f>+D37/D34</f>
        <v>0.23636516865440033</v>
      </c>
      <c r="E38" s="391">
        <f>+E37/E34</f>
        <v>0.11</v>
      </c>
      <c r="F38" s="391">
        <f>+F37/F34</f>
        <v>0.2182781912740801</v>
      </c>
      <c r="G38" s="392">
        <f>+G37/G34</f>
        <v>0.20574349899233257</v>
      </c>
      <c r="H38" s="391"/>
      <c r="I38" s="392">
        <f>+I37/I34</f>
        <v>0.17342250294135861</v>
      </c>
      <c r="K38" s="392">
        <f t="shared" ref="K38:V38" si="17">+K37/K34</f>
        <v>0.20625857125046751</v>
      </c>
      <c r="L38" s="540">
        <f t="shared" si="17"/>
        <v>0.20484503028143927</v>
      </c>
      <c r="M38" s="536">
        <f t="shared" si="17"/>
        <v>0.1722285686508033</v>
      </c>
      <c r="N38" s="536">
        <f t="shared" si="17"/>
        <v>0.17282708703919525</v>
      </c>
      <c r="O38" s="536">
        <f t="shared" si="17"/>
        <v>0.17342250294135861</v>
      </c>
      <c r="P38" s="536">
        <f t="shared" si="17"/>
        <v>0.17101093612256082</v>
      </c>
      <c r="Q38" s="557">
        <f t="shared" si="17"/>
        <v>0.22602480355959481</v>
      </c>
      <c r="R38" s="540">
        <f t="shared" si="17"/>
        <v>0.22306920530946917</v>
      </c>
      <c r="S38" s="536">
        <f t="shared" si="17"/>
        <v>0.22985063681032586</v>
      </c>
      <c r="T38" s="536">
        <f t="shared" si="17"/>
        <v>0.23102750209845455</v>
      </c>
      <c r="U38" s="536">
        <f t="shared" si="17"/>
        <v>0.23224036903129286</v>
      </c>
      <c r="V38" s="536">
        <f t="shared" si="17"/>
        <v>0.22602480355959481</v>
      </c>
    </row>
    <row r="39" spans="1:22" x14ac:dyDescent="0.35">
      <c r="A39" s="154" t="s">
        <v>242</v>
      </c>
      <c r="B39" s="154"/>
      <c r="C39" s="391">
        <f>+C38/C35</f>
        <v>2.7972891713435705E-5</v>
      </c>
      <c r="D39" s="391">
        <f>+D38/D35</f>
        <v>2.7006126304291768E-5</v>
      </c>
      <c r="E39" s="391">
        <f>+E38/E35</f>
        <v>1.2099149066241214E-5</v>
      </c>
      <c r="F39" s="391">
        <f>+F38/F35</f>
        <v>2.6807426695100191E-5</v>
      </c>
      <c r="G39" s="392"/>
      <c r="H39" s="391"/>
      <c r="I39" s="553">
        <v>0.17499999999999999</v>
      </c>
      <c r="K39" s="553">
        <v>0.20499999999999999</v>
      </c>
      <c r="L39" s="518">
        <v>0.17499999999999999</v>
      </c>
      <c r="M39" s="537">
        <v>0.17499999999999999</v>
      </c>
      <c r="N39" s="537">
        <v>0.17499999999999999</v>
      </c>
      <c r="O39" s="537">
        <v>0.17499999999999999</v>
      </c>
      <c r="P39" s="537">
        <v>0.17499999999999999</v>
      </c>
      <c r="Q39" s="558">
        <v>0.22500000000000001</v>
      </c>
      <c r="R39" s="518">
        <v>0.22500000000000001</v>
      </c>
      <c r="S39" s="537">
        <v>0.23</v>
      </c>
      <c r="T39" s="537">
        <v>0.23</v>
      </c>
      <c r="U39" s="537">
        <v>0.20499999999999999</v>
      </c>
      <c r="V39" s="537">
        <v>0.22500000000000001</v>
      </c>
    </row>
    <row r="40" spans="1:22" x14ac:dyDescent="0.35">
      <c r="A40" s="169" t="s">
        <v>151</v>
      </c>
      <c r="B40" s="393"/>
      <c r="C40" s="394"/>
      <c r="D40" s="394"/>
      <c r="E40" s="394"/>
      <c r="F40" s="394"/>
      <c r="G40" s="173">
        <f>+G37</f>
        <v>16110</v>
      </c>
      <c r="H40" s="394"/>
      <c r="I40" s="173">
        <f>ROUND(+I19*I39,0)</f>
        <v>14130</v>
      </c>
      <c r="K40" s="173">
        <f t="shared" ref="K40:V40" si="18">ROUND(+K19*K39,0)</f>
        <v>16443</v>
      </c>
      <c r="L40" s="522">
        <f t="shared" si="18"/>
        <v>14246</v>
      </c>
      <c r="M40" s="532">
        <f t="shared" si="18"/>
        <v>14400</v>
      </c>
      <c r="N40" s="532">
        <f t="shared" si="18"/>
        <v>14265</v>
      </c>
      <c r="O40" s="532">
        <f t="shared" si="18"/>
        <v>14130</v>
      </c>
      <c r="P40" s="532">
        <f t="shared" si="18"/>
        <v>14690</v>
      </c>
      <c r="Q40" s="120">
        <f t="shared" si="18"/>
        <v>19013</v>
      </c>
      <c r="R40" s="522">
        <f t="shared" si="18"/>
        <v>19510</v>
      </c>
      <c r="S40" s="532">
        <f t="shared" si="18"/>
        <v>18817</v>
      </c>
      <c r="T40" s="532">
        <f t="shared" si="18"/>
        <v>18633</v>
      </c>
      <c r="U40" s="532">
        <f t="shared" si="18"/>
        <v>16443</v>
      </c>
      <c r="V40" s="532">
        <f t="shared" si="18"/>
        <v>19013</v>
      </c>
    </row>
    <row r="41" spans="1:22" x14ac:dyDescent="0.35">
      <c r="A41" s="174"/>
      <c r="B41" s="174"/>
      <c r="C41" s="174"/>
      <c r="D41" s="174"/>
      <c r="E41" s="174"/>
      <c r="F41" s="174"/>
      <c r="G41" s="174"/>
      <c r="H41" s="174"/>
      <c r="I41" s="174"/>
      <c r="K41" s="174"/>
      <c r="L41" s="174"/>
      <c r="M41" s="174"/>
      <c r="N41" s="174"/>
      <c r="O41" s="174"/>
      <c r="P41" s="174"/>
      <c r="Q41" s="174"/>
      <c r="R41" s="174"/>
      <c r="S41" s="174"/>
      <c r="T41" s="174"/>
      <c r="U41" s="174"/>
      <c r="V41" s="174"/>
    </row>
    <row r="42" spans="1:22" x14ac:dyDescent="0.35">
      <c r="A42" s="175" t="s">
        <v>153</v>
      </c>
      <c r="B42" s="140"/>
      <c r="C42" s="176"/>
      <c r="D42" s="176"/>
      <c r="E42" s="176"/>
      <c r="F42" s="177"/>
      <c r="G42" s="141"/>
      <c r="H42" s="177"/>
      <c r="I42" s="141"/>
      <c r="K42" s="141"/>
      <c r="L42" s="510"/>
      <c r="M42" s="523"/>
      <c r="N42" s="523"/>
      <c r="O42" s="523"/>
      <c r="P42" s="523"/>
      <c r="Q42" s="112"/>
      <c r="R42" s="510"/>
      <c r="S42" s="523"/>
      <c r="T42" s="523"/>
      <c r="U42" s="523"/>
      <c r="V42" s="523"/>
    </row>
    <row r="43" spans="1:22" x14ac:dyDescent="0.35">
      <c r="A43" s="154" t="s">
        <v>409</v>
      </c>
      <c r="B43" s="154"/>
      <c r="C43" s="186">
        <v>0.03</v>
      </c>
      <c r="D43" s="186">
        <v>0.03</v>
      </c>
      <c r="E43" s="186">
        <v>0.03</v>
      </c>
      <c r="F43" s="187">
        <v>0.03</v>
      </c>
      <c r="G43" s="361">
        <v>2.5000000000000001E-2</v>
      </c>
      <c r="H43" s="187">
        <v>2.5000000000000001E-2</v>
      </c>
      <c r="I43" s="361">
        <v>1.4999999999999999E-2</v>
      </c>
      <c r="K43" s="361">
        <v>1.4999999999999999E-2</v>
      </c>
      <c r="L43" s="544">
        <v>1.4999999999999999E-2</v>
      </c>
      <c r="M43" s="541">
        <v>1.4999999999999999E-2</v>
      </c>
      <c r="N43" s="541">
        <v>1.4999999999999999E-2</v>
      </c>
      <c r="O43" s="541">
        <v>1.4999999999999999E-2</v>
      </c>
      <c r="P43" s="541">
        <v>1.4999999999999999E-2</v>
      </c>
      <c r="Q43" s="365">
        <v>1.4999999999999999E-2</v>
      </c>
      <c r="R43" s="545">
        <f>+$Q43</f>
        <v>1.4999999999999999E-2</v>
      </c>
      <c r="S43" s="545">
        <f t="shared" ref="S43:V44" si="19">+$Q43</f>
        <v>1.4999999999999999E-2</v>
      </c>
      <c r="T43" s="545">
        <f t="shared" si="19"/>
        <v>1.4999999999999999E-2</v>
      </c>
      <c r="U43" s="545">
        <f t="shared" si="19"/>
        <v>1.4999999999999999E-2</v>
      </c>
      <c r="V43" s="545">
        <f t="shared" si="19"/>
        <v>1.4999999999999999E-2</v>
      </c>
    </row>
    <row r="44" spans="1:22" x14ac:dyDescent="0.35">
      <c r="A44" s="154" t="s">
        <v>410</v>
      </c>
      <c r="B44" s="154"/>
      <c r="C44" s="186">
        <v>3.0000000000000001E-3</v>
      </c>
      <c r="D44" s="186">
        <v>3.0000000000000001E-3</v>
      </c>
      <c r="E44" s="186">
        <v>3.0000000000000001E-3</v>
      </c>
      <c r="F44" s="187">
        <v>3.0000000000000001E-3</v>
      </c>
      <c r="G44" s="361">
        <v>2E-3</v>
      </c>
      <c r="H44" s="187">
        <v>2E-3</v>
      </c>
      <c r="I44" s="361">
        <v>7.0000000000000001E-3</v>
      </c>
      <c r="K44" s="361">
        <v>7.0000000000000001E-3</v>
      </c>
      <c r="L44" s="544">
        <v>7.0000000000000001E-3</v>
      </c>
      <c r="M44" s="541">
        <v>7.0000000000000001E-3</v>
      </c>
      <c r="N44" s="541">
        <v>7.0000000000000001E-3</v>
      </c>
      <c r="O44" s="541">
        <v>7.0000000000000001E-3</v>
      </c>
      <c r="P44" s="541">
        <v>7.0000000000000001E-3</v>
      </c>
      <c r="Q44" s="365">
        <v>7.0000000000000001E-3</v>
      </c>
      <c r="R44" s="545">
        <f>+$Q44</f>
        <v>7.0000000000000001E-3</v>
      </c>
      <c r="S44" s="545">
        <f t="shared" si="19"/>
        <v>7.0000000000000001E-3</v>
      </c>
      <c r="T44" s="545">
        <f t="shared" si="19"/>
        <v>7.0000000000000001E-3</v>
      </c>
      <c r="U44" s="545">
        <f t="shared" si="19"/>
        <v>7.0000000000000001E-3</v>
      </c>
      <c r="V44" s="545">
        <f t="shared" si="19"/>
        <v>7.0000000000000001E-3</v>
      </c>
    </row>
    <row r="45" spans="1:22" hidden="1" x14ac:dyDescent="0.35">
      <c r="A45" s="154" t="s">
        <v>129</v>
      </c>
      <c r="B45" s="154"/>
      <c r="C45" s="186">
        <v>7.0000000000000001E-3</v>
      </c>
      <c r="D45" s="186">
        <v>7.0000000000000001E-3</v>
      </c>
      <c r="E45" s="186">
        <v>7.0000000000000001E-3</v>
      </c>
      <c r="F45" s="187">
        <v>7.0000000000000001E-3</v>
      </c>
      <c r="G45" s="361">
        <v>7.0000000000000001E-3</v>
      </c>
      <c r="H45" s="187">
        <v>7.0000000000000001E-3</v>
      </c>
      <c r="I45" s="361">
        <v>7.0000000000000001E-3</v>
      </c>
      <c r="J45" s="110" t="s">
        <v>289</v>
      </c>
      <c r="K45" s="361">
        <v>0</v>
      </c>
      <c r="L45" s="544">
        <v>0</v>
      </c>
      <c r="M45" s="541">
        <v>0</v>
      </c>
      <c r="N45" s="541">
        <v>0</v>
      </c>
      <c r="O45" s="541">
        <v>0</v>
      </c>
      <c r="P45" s="541">
        <v>0</v>
      </c>
      <c r="Q45" s="365">
        <v>0</v>
      </c>
      <c r="R45" s="544">
        <v>0</v>
      </c>
      <c r="S45" s="541">
        <v>0</v>
      </c>
      <c r="T45" s="541">
        <v>0</v>
      </c>
      <c r="U45" s="541">
        <v>0</v>
      </c>
      <c r="V45" s="541">
        <v>0</v>
      </c>
    </row>
    <row r="46" spans="1:22" x14ac:dyDescent="0.35">
      <c r="A46" s="154" t="s">
        <v>411</v>
      </c>
      <c r="B46" s="154"/>
      <c r="C46" s="188">
        <f t="shared" ref="C46:H46" si="20">+C43+C44+C45</f>
        <v>0.04</v>
      </c>
      <c r="D46" s="188">
        <f t="shared" si="20"/>
        <v>0.04</v>
      </c>
      <c r="E46" s="188">
        <f t="shared" si="20"/>
        <v>0.04</v>
      </c>
      <c r="F46" s="189">
        <f t="shared" si="20"/>
        <v>0.04</v>
      </c>
      <c r="G46" s="362">
        <f t="shared" si="20"/>
        <v>3.4000000000000002E-2</v>
      </c>
      <c r="H46" s="189">
        <f t="shared" si="20"/>
        <v>3.4000000000000002E-2</v>
      </c>
      <c r="I46" s="362">
        <f t="shared" ref="I46:Q46" si="21">+I43+I44+I45</f>
        <v>2.8999999999999998E-2</v>
      </c>
      <c r="K46" s="362">
        <f>+K43+K44+K45</f>
        <v>2.1999999999999999E-2</v>
      </c>
      <c r="L46" s="545">
        <f t="shared" si="21"/>
        <v>2.1999999999999999E-2</v>
      </c>
      <c r="M46" s="542">
        <f t="shared" si="21"/>
        <v>2.1999999999999999E-2</v>
      </c>
      <c r="N46" s="542">
        <f t="shared" si="21"/>
        <v>2.1999999999999999E-2</v>
      </c>
      <c r="O46" s="542">
        <f>+O43+O44+O45</f>
        <v>2.1999999999999999E-2</v>
      </c>
      <c r="P46" s="542">
        <f t="shared" si="21"/>
        <v>2.1999999999999999E-2</v>
      </c>
      <c r="Q46" s="366">
        <f t="shared" si="21"/>
        <v>2.1999999999999999E-2</v>
      </c>
      <c r="R46" s="545">
        <f>+R43+R44+R45</f>
        <v>2.1999999999999999E-2</v>
      </c>
      <c r="S46" s="542">
        <f>+S43+S44+S45</f>
        <v>2.1999999999999999E-2</v>
      </c>
      <c r="T46" s="542">
        <f>+T43+T44+T45</f>
        <v>2.1999999999999999E-2</v>
      </c>
      <c r="U46" s="542">
        <f>+U43+U44+U45</f>
        <v>2.1999999999999999E-2</v>
      </c>
      <c r="V46" s="542">
        <f>+V43+V44+V45</f>
        <v>2.1999999999999999E-2</v>
      </c>
    </row>
    <row r="47" spans="1:22" x14ac:dyDescent="0.35">
      <c r="A47" s="154" t="s">
        <v>152</v>
      </c>
      <c r="B47" s="154"/>
      <c r="C47" s="127">
        <f t="shared" ref="C47:H47" si="22">+C19</f>
        <v>70938.030791666679</v>
      </c>
      <c r="D47" s="127">
        <f t="shared" si="22"/>
        <v>70938.030791666679</v>
      </c>
      <c r="E47" s="127">
        <f t="shared" si="22"/>
        <v>82650.440499999997</v>
      </c>
      <c r="F47" s="182">
        <f t="shared" si="22"/>
        <v>74022.293000000005</v>
      </c>
      <c r="G47" s="144">
        <f t="shared" si="22"/>
        <v>78301.380499999999</v>
      </c>
      <c r="H47" s="182">
        <f t="shared" si="22"/>
        <v>78301.380499999999</v>
      </c>
      <c r="I47" s="144">
        <f t="shared" ref="I47:Q47" si="23">+I19</f>
        <v>80745</v>
      </c>
      <c r="K47" s="144">
        <f>+K19</f>
        <v>80210</v>
      </c>
      <c r="L47" s="511">
        <f t="shared" si="23"/>
        <v>81403</v>
      </c>
      <c r="M47" s="534">
        <f t="shared" si="23"/>
        <v>82286</v>
      </c>
      <c r="N47" s="534">
        <f t="shared" si="23"/>
        <v>81515</v>
      </c>
      <c r="O47" s="534">
        <f>+O19</f>
        <v>80745</v>
      </c>
      <c r="P47" s="534">
        <f t="shared" si="23"/>
        <v>83942</v>
      </c>
      <c r="Q47" s="113">
        <f t="shared" si="23"/>
        <v>84504</v>
      </c>
      <c r="R47" s="511">
        <f>+R19</f>
        <v>86713</v>
      </c>
      <c r="S47" s="534">
        <f>+S19</f>
        <v>81814</v>
      </c>
      <c r="T47" s="534">
        <f>+T19</f>
        <v>81012</v>
      </c>
      <c r="U47" s="534">
        <f>+U19</f>
        <v>80210</v>
      </c>
      <c r="V47" s="534">
        <f>+V19</f>
        <v>84504</v>
      </c>
    </row>
    <row r="48" spans="1:22" ht="29" hidden="1" x14ac:dyDescent="0.35">
      <c r="A48" s="190" t="s">
        <v>158</v>
      </c>
      <c r="B48" s="154"/>
      <c r="C48" s="127">
        <f>+C26</f>
        <v>7681</v>
      </c>
      <c r="D48" s="127">
        <f>+D26</f>
        <v>8015</v>
      </c>
      <c r="E48" s="191">
        <v>0</v>
      </c>
      <c r="F48" s="182">
        <f>+F26</f>
        <v>8015</v>
      </c>
      <c r="G48" s="355">
        <v>0</v>
      </c>
      <c r="H48" s="184">
        <v>0</v>
      </c>
      <c r="I48" s="355">
        <v>0</v>
      </c>
      <c r="K48" s="355">
        <v>0</v>
      </c>
      <c r="L48" s="546">
        <v>0</v>
      </c>
      <c r="M48" s="543">
        <v>0</v>
      </c>
      <c r="N48" s="543">
        <v>0</v>
      </c>
      <c r="O48" s="543">
        <v>0</v>
      </c>
      <c r="P48" s="543">
        <v>0</v>
      </c>
      <c r="Q48" s="193">
        <v>0</v>
      </c>
      <c r="R48" s="546">
        <v>0</v>
      </c>
      <c r="S48" s="543">
        <v>0</v>
      </c>
      <c r="T48" s="543">
        <v>0</v>
      </c>
      <c r="U48" s="543">
        <v>0</v>
      </c>
      <c r="V48" s="543">
        <v>0</v>
      </c>
    </row>
    <row r="49" spans="1:25" hidden="1" x14ac:dyDescent="0.35">
      <c r="A49" s="190" t="s">
        <v>157</v>
      </c>
      <c r="B49" s="154"/>
      <c r="C49" s="127">
        <f>+C31*C17</f>
        <v>587.59649999999999</v>
      </c>
      <c r="D49" s="127">
        <f>+D31*D17</f>
        <v>613.14750000000004</v>
      </c>
      <c r="E49" s="127">
        <f>+E31*E17</f>
        <v>0</v>
      </c>
      <c r="F49" s="182">
        <f>+F31*F17</f>
        <v>613.14750000000004</v>
      </c>
      <c r="G49" s="144"/>
      <c r="H49" s="182"/>
      <c r="I49" s="144"/>
      <c r="K49" s="144"/>
      <c r="L49" s="511"/>
      <c r="M49" s="534"/>
      <c r="N49" s="534"/>
      <c r="O49" s="534"/>
      <c r="P49" s="534"/>
      <c r="Q49" s="113"/>
      <c r="R49" s="511"/>
      <c r="S49" s="534"/>
      <c r="T49" s="534"/>
      <c r="U49" s="534"/>
      <c r="V49" s="534"/>
    </row>
    <row r="50" spans="1:25" hidden="1" x14ac:dyDescent="0.35">
      <c r="A50" s="124" t="s">
        <v>156</v>
      </c>
      <c r="B50" s="124"/>
      <c r="C50" s="125">
        <f t="shared" ref="C50:H50" si="24">SUM(C47:C49)</f>
        <v>79206.627291666679</v>
      </c>
      <c r="D50" s="125">
        <f t="shared" si="24"/>
        <v>79566.178291666685</v>
      </c>
      <c r="E50" s="125">
        <f t="shared" si="24"/>
        <v>82650.440499999997</v>
      </c>
      <c r="F50" s="126">
        <f t="shared" si="24"/>
        <v>82650.440500000012</v>
      </c>
      <c r="G50" s="144">
        <f t="shared" si="24"/>
        <v>78301.380499999999</v>
      </c>
      <c r="H50" s="126">
        <f t="shared" si="24"/>
        <v>78301.380499999999</v>
      </c>
      <c r="I50" s="144">
        <f t="shared" ref="I50:Q50" si="25">SUM(I47:I49)</f>
        <v>80745</v>
      </c>
      <c r="K50" s="144">
        <f>SUM(K47:K49)</f>
        <v>80210</v>
      </c>
      <c r="L50" s="511">
        <f t="shared" si="25"/>
        <v>81403</v>
      </c>
      <c r="M50" s="534">
        <f t="shared" si="25"/>
        <v>82286</v>
      </c>
      <c r="N50" s="534">
        <f t="shared" si="25"/>
        <v>81515</v>
      </c>
      <c r="O50" s="534">
        <f>SUM(O47:O49)</f>
        <v>80745</v>
      </c>
      <c r="P50" s="534">
        <f t="shared" si="25"/>
        <v>83942</v>
      </c>
      <c r="Q50" s="113">
        <f t="shared" si="25"/>
        <v>84504</v>
      </c>
      <c r="R50" s="511">
        <f>SUM(R47:R49)</f>
        <v>86713</v>
      </c>
      <c r="S50" s="534">
        <f>SUM(S47:S49)</f>
        <v>81814</v>
      </c>
      <c r="T50" s="534">
        <f>SUM(T47:T49)</f>
        <v>81012</v>
      </c>
      <c r="U50" s="534">
        <f>SUM(U47:U49)</f>
        <v>80210</v>
      </c>
      <c r="V50" s="534">
        <f>SUM(V47:V49)</f>
        <v>84504</v>
      </c>
    </row>
    <row r="51" spans="1:25" x14ac:dyDescent="0.35">
      <c r="A51" s="130" t="s">
        <v>155</v>
      </c>
      <c r="B51" s="130"/>
      <c r="C51" s="131">
        <f>+C50*C46</f>
        <v>3168.2650916666671</v>
      </c>
      <c r="D51" s="131">
        <f>+D50*D46+1</f>
        <v>3183.6471316666675</v>
      </c>
      <c r="E51" s="131">
        <f>+E50*E46+1</f>
        <v>3307.0176200000001</v>
      </c>
      <c r="F51" s="132">
        <f>+F50*F46+1</f>
        <v>3307.0176200000005</v>
      </c>
      <c r="G51" s="173">
        <f>ROUND(+G50*G46,0)</f>
        <v>2662</v>
      </c>
      <c r="H51" s="173">
        <f>ROUND(+H50*H46,0)</f>
        <v>2662</v>
      </c>
      <c r="I51" s="173">
        <f>ROUND(+I50*I46,0)</f>
        <v>2342</v>
      </c>
      <c r="K51" s="173">
        <f t="shared" ref="K51:V51" si="26">ROUND(+K50*K46,0)</f>
        <v>1765</v>
      </c>
      <c r="L51" s="522">
        <f t="shared" si="26"/>
        <v>1791</v>
      </c>
      <c r="M51" s="532">
        <f t="shared" si="26"/>
        <v>1810</v>
      </c>
      <c r="N51" s="532">
        <f t="shared" si="26"/>
        <v>1793</v>
      </c>
      <c r="O51" s="532">
        <f t="shared" si="26"/>
        <v>1776</v>
      </c>
      <c r="P51" s="532">
        <f t="shared" si="26"/>
        <v>1847</v>
      </c>
      <c r="Q51" s="120">
        <f t="shared" si="26"/>
        <v>1859</v>
      </c>
      <c r="R51" s="522">
        <f t="shared" si="26"/>
        <v>1908</v>
      </c>
      <c r="S51" s="532">
        <f t="shared" si="26"/>
        <v>1800</v>
      </c>
      <c r="T51" s="532">
        <f t="shared" si="26"/>
        <v>1782</v>
      </c>
      <c r="U51" s="532">
        <f t="shared" si="26"/>
        <v>1765</v>
      </c>
      <c r="V51" s="532">
        <f t="shared" si="26"/>
        <v>1859</v>
      </c>
    </row>
    <row r="52" spans="1:25" x14ac:dyDescent="0.35">
      <c r="D52" s="117"/>
      <c r="E52" s="117"/>
      <c r="G52" s="174"/>
      <c r="I52" s="174"/>
      <c r="K52" s="174"/>
    </row>
    <row r="53" spans="1:25" x14ac:dyDescent="0.35">
      <c r="A53" s="121" t="s">
        <v>99</v>
      </c>
      <c r="B53" s="122"/>
      <c r="C53" s="133"/>
      <c r="D53" s="133"/>
      <c r="E53" s="133"/>
      <c r="F53" s="134"/>
      <c r="G53" s="354"/>
      <c r="H53" s="133"/>
      <c r="I53" s="354"/>
      <c r="K53" s="354"/>
      <c r="L53" s="547"/>
      <c r="M53" s="547"/>
      <c r="N53" s="547"/>
      <c r="O53" s="547"/>
      <c r="P53" s="547"/>
      <c r="Q53" s="192"/>
      <c r="R53" s="547"/>
      <c r="S53" s="547"/>
      <c r="T53" s="547"/>
      <c r="U53" s="547"/>
      <c r="V53" s="547"/>
    </row>
    <row r="54" spans="1:25" x14ac:dyDescent="0.35">
      <c r="A54" s="124" t="s">
        <v>160</v>
      </c>
      <c r="B54" s="124"/>
      <c r="C54" s="128">
        <v>1500</v>
      </c>
      <c r="D54" s="128">
        <v>1500</v>
      </c>
      <c r="E54" s="128">
        <v>1500</v>
      </c>
      <c r="F54" s="129">
        <v>1500</v>
      </c>
      <c r="G54" s="355">
        <v>1500</v>
      </c>
      <c r="H54" s="128">
        <v>1500</v>
      </c>
      <c r="I54" s="355">
        <v>1500</v>
      </c>
      <c r="K54" s="355">
        <v>1500</v>
      </c>
      <c r="L54" s="546">
        <v>1500</v>
      </c>
      <c r="M54" s="546">
        <v>1500</v>
      </c>
      <c r="N54" s="546">
        <v>1500</v>
      </c>
      <c r="O54" s="546">
        <v>1500</v>
      </c>
      <c r="P54" s="546">
        <v>1500</v>
      </c>
      <c r="Q54" s="193">
        <v>1500</v>
      </c>
      <c r="R54" s="710">
        <f>+$Q54</f>
        <v>1500</v>
      </c>
      <c r="S54" s="710">
        <f t="shared" ref="S54:V55" si="27">+$Q54</f>
        <v>1500</v>
      </c>
      <c r="T54" s="710">
        <f t="shared" si="27"/>
        <v>1500</v>
      </c>
      <c r="U54" s="710">
        <f t="shared" si="27"/>
        <v>1500</v>
      </c>
      <c r="V54" s="710">
        <f t="shared" si="27"/>
        <v>1500</v>
      </c>
    </row>
    <row r="55" spans="1:25" x14ac:dyDescent="0.35">
      <c r="A55" s="124" t="s">
        <v>412</v>
      </c>
      <c r="B55" s="124"/>
      <c r="C55" s="128">
        <v>1000</v>
      </c>
      <c r="D55" s="128">
        <v>1000</v>
      </c>
      <c r="E55" s="128">
        <v>1000</v>
      </c>
      <c r="F55" s="129">
        <v>1000</v>
      </c>
      <c r="G55" s="355">
        <v>1000</v>
      </c>
      <c r="H55" s="128">
        <v>700</v>
      </c>
      <c r="I55" s="355">
        <v>1000</v>
      </c>
      <c r="K55" s="355">
        <v>1000</v>
      </c>
      <c r="L55" s="546">
        <v>1000</v>
      </c>
      <c r="M55" s="546">
        <v>1000</v>
      </c>
      <c r="N55" s="546">
        <v>1000</v>
      </c>
      <c r="O55" s="546">
        <v>1000</v>
      </c>
      <c r="P55" s="546">
        <v>1000</v>
      </c>
      <c r="Q55" s="193">
        <v>1300</v>
      </c>
      <c r="R55" s="710">
        <f>+$Q55</f>
        <v>1300</v>
      </c>
      <c r="S55" s="710">
        <f t="shared" si="27"/>
        <v>1300</v>
      </c>
      <c r="T55" s="710">
        <f t="shared" si="27"/>
        <v>1300</v>
      </c>
      <c r="U55" s="710">
        <f t="shared" si="27"/>
        <v>1300</v>
      </c>
      <c r="V55" s="710">
        <f t="shared" si="27"/>
        <v>1300</v>
      </c>
    </row>
    <row r="56" spans="1:25" x14ac:dyDescent="0.35">
      <c r="A56" s="124" t="s">
        <v>424</v>
      </c>
      <c r="B56" s="124"/>
      <c r="C56" s="128"/>
      <c r="D56" s="128"/>
      <c r="E56" s="128"/>
      <c r="F56" s="129"/>
      <c r="G56" s="355"/>
      <c r="H56" s="128"/>
      <c r="I56" s="355"/>
      <c r="K56" s="355"/>
      <c r="L56" s="546"/>
      <c r="M56" s="546"/>
      <c r="N56" s="546"/>
      <c r="O56" s="546"/>
      <c r="P56" s="546"/>
      <c r="Q56" s="193"/>
      <c r="R56" s="710"/>
      <c r="S56" s="710"/>
      <c r="T56" s="710"/>
      <c r="U56" s="710"/>
      <c r="V56" s="710"/>
    </row>
    <row r="57" spans="1:25" x14ac:dyDescent="0.35">
      <c r="A57" s="124" t="s">
        <v>99</v>
      </c>
      <c r="B57" s="124"/>
      <c r="C57" s="128">
        <v>600</v>
      </c>
      <c r="D57" s="128">
        <v>600</v>
      </c>
      <c r="E57" s="128">
        <v>600</v>
      </c>
      <c r="F57" s="129">
        <v>600</v>
      </c>
      <c r="G57" s="355">
        <v>600</v>
      </c>
      <c r="H57" s="128">
        <v>600</v>
      </c>
      <c r="I57" s="355">
        <v>600</v>
      </c>
      <c r="K57" s="355">
        <v>600</v>
      </c>
      <c r="L57" s="546">
        <v>600</v>
      </c>
      <c r="M57" s="546">
        <v>600</v>
      </c>
      <c r="N57" s="546">
        <v>600</v>
      </c>
      <c r="O57" s="546">
        <v>600</v>
      </c>
      <c r="P57" s="546">
        <v>600</v>
      </c>
      <c r="Q57" s="193">
        <v>600</v>
      </c>
      <c r="R57" s="710">
        <f>+$Q57</f>
        <v>600</v>
      </c>
      <c r="S57" s="710">
        <f t="shared" ref="S57:V58" si="28">+$Q57</f>
        <v>600</v>
      </c>
      <c r="T57" s="710">
        <f t="shared" si="28"/>
        <v>600</v>
      </c>
      <c r="U57" s="710">
        <f t="shared" si="28"/>
        <v>600</v>
      </c>
      <c r="V57" s="710">
        <f t="shared" si="28"/>
        <v>600</v>
      </c>
    </row>
    <row r="58" spans="1:25" x14ac:dyDescent="0.35">
      <c r="A58" s="154" t="s">
        <v>170</v>
      </c>
      <c r="B58" s="154"/>
      <c r="C58" s="155"/>
      <c r="D58" s="155"/>
      <c r="E58" s="155"/>
      <c r="F58" s="156"/>
      <c r="G58" s="355">
        <f>40*12</f>
        <v>480</v>
      </c>
      <c r="H58" s="568">
        <f>25*12</f>
        <v>300</v>
      </c>
      <c r="I58" s="355">
        <f>ROUND(40*12,0)</f>
        <v>480</v>
      </c>
      <c r="K58" s="355">
        <f t="shared" ref="K58:Q58" si="29">ROUND(40*12,0)</f>
        <v>480</v>
      </c>
      <c r="L58" s="546">
        <f t="shared" si="29"/>
        <v>480</v>
      </c>
      <c r="M58" s="546">
        <f t="shared" si="29"/>
        <v>480</v>
      </c>
      <c r="N58" s="546">
        <f t="shared" si="29"/>
        <v>480</v>
      </c>
      <c r="O58" s="546">
        <f t="shared" si="29"/>
        <v>480</v>
      </c>
      <c r="P58" s="546">
        <f t="shared" si="29"/>
        <v>480</v>
      </c>
      <c r="Q58" s="193">
        <f t="shared" si="29"/>
        <v>480</v>
      </c>
      <c r="R58" s="710">
        <f>+$Q58</f>
        <v>480</v>
      </c>
      <c r="S58" s="710">
        <f t="shared" si="28"/>
        <v>480</v>
      </c>
      <c r="T58" s="710">
        <f t="shared" si="28"/>
        <v>480</v>
      </c>
      <c r="U58" s="710">
        <f t="shared" si="28"/>
        <v>480</v>
      </c>
      <c r="V58" s="710">
        <f t="shared" si="28"/>
        <v>480</v>
      </c>
    </row>
    <row r="59" spans="1:25" x14ac:dyDescent="0.35">
      <c r="A59" s="135" t="s">
        <v>162</v>
      </c>
      <c r="B59" s="135"/>
      <c r="C59" s="136">
        <f t="shared" ref="C59:H59" si="30">+SUM(C54:C58)</f>
        <v>3100</v>
      </c>
      <c r="D59" s="136">
        <f t="shared" si="30"/>
        <v>3100</v>
      </c>
      <c r="E59" s="136">
        <f t="shared" si="30"/>
        <v>3100</v>
      </c>
      <c r="F59" s="137">
        <f t="shared" si="30"/>
        <v>3100</v>
      </c>
      <c r="G59" s="356">
        <f t="shared" si="30"/>
        <v>3580</v>
      </c>
      <c r="H59" s="136">
        <f t="shared" si="30"/>
        <v>3100</v>
      </c>
      <c r="I59" s="356">
        <f t="shared" ref="I59:P59" si="31">+SUM(I54:I58)</f>
        <v>3580</v>
      </c>
      <c r="K59" s="356">
        <f>+SUM(K54:K58)</f>
        <v>3580</v>
      </c>
      <c r="L59" s="548">
        <f t="shared" si="31"/>
        <v>3580</v>
      </c>
      <c r="M59" s="548">
        <f t="shared" si="31"/>
        <v>3580</v>
      </c>
      <c r="N59" s="548">
        <f t="shared" si="31"/>
        <v>3580</v>
      </c>
      <c r="O59" s="548">
        <f>+SUM(O54:O58)</f>
        <v>3580</v>
      </c>
      <c r="P59" s="548">
        <f t="shared" si="31"/>
        <v>3580</v>
      </c>
      <c r="Q59" s="194">
        <f t="shared" ref="Q59:V59" si="32">+SUM(Q54:Q58)</f>
        <v>3880</v>
      </c>
      <c r="R59" s="548">
        <f t="shared" si="32"/>
        <v>3880</v>
      </c>
      <c r="S59" s="548">
        <f t="shared" si="32"/>
        <v>3880</v>
      </c>
      <c r="T59" s="548">
        <f t="shared" si="32"/>
        <v>3880</v>
      </c>
      <c r="U59" s="548">
        <f t="shared" si="32"/>
        <v>3880</v>
      </c>
      <c r="V59" s="548">
        <f t="shared" si="32"/>
        <v>3880</v>
      </c>
    </row>
    <row r="60" spans="1:25" ht="7.5" customHeight="1" thickBot="1" x14ac:dyDescent="0.4">
      <c r="G60" s="174"/>
      <c r="I60" s="155"/>
      <c r="K60" s="174"/>
    </row>
    <row r="61" spans="1:25" ht="15.5" thickTop="1" thickBot="1" x14ac:dyDescent="0.4">
      <c r="A61" s="431" t="s">
        <v>161</v>
      </c>
      <c r="B61" s="728"/>
      <c r="C61" s="729">
        <f t="shared" ref="C61:I61" si="33">+C19+C37+C51+C59</f>
        <v>92690.479270416676</v>
      </c>
      <c r="D61" s="729">
        <f t="shared" si="33"/>
        <v>93988.957535416688</v>
      </c>
      <c r="E61" s="729">
        <f t="shared" si="33"/>
        <v>98149.006574999992</v>
      </c>
      <c r="F61" s="730">
        <f t="shared" si="33"/>
        <v>96586.762849999999</v>
      </c>
      <c r="G61" s="731">
        <f t="shared" si="33"/>
        <v>100653.3805</v>
      </c>
      <c r="H61" s="729">
        <f t="shared" si="33"/>
        <v>97766.380499999999</v>
      </c>
      <c r="I61" s="731">
        <f t="shared" si="33"/>
        <v>100670</v>
      </c>
      <c r="J61" s="732"/>
      <c r="K61" s="731">
        <f t="shared" ref="K61:P61" si="34">+K19+K37+K51+K59</f>
        <v>102099</v>
      </c>
      <c r="L61" s="733">
        <f>+L19+L37+L51+L59</f>
        <v>103449</v>
      </c>
      <c r="M61" s="733">
        <f t="shared" si="34"/>
        <v>101848</v>
      </c>
      <c r="N61" s="733">
        <f t="shared" si="34"/>
        <v>100976</v>
      </c>
      <c r="O61" s="733">
        <f t="shared" si="34"/>
        <v>100104</v>
      </c>
      <c r="P61" s="733">
        <f t="shared" si="34"/>
        <v>103724</v>
      </c>
      <c r="Q61" s="734">
        <f t="shared" ref="Q61:V61" si="35">+Q19+Q40+Q51+Q59</f>
        <v>109256</v>
      </c>
      <c r="R61" s="727">
        <f t="shared" si="35"/>
        <v>112011</v>
      </c>
      <c r="S61" s="549">
        <f t="shared" si="35"/>
        <v>106311</v>
      </c>
      <c r="T61" s="549">
        <f t="shared" si="35"/>
        <v>105307</v>
      </c>
      <c r="U61" s="549">
        <f t="shared" si="35"/>
        <v>102298</v>
      </c>
      <c r="V61" s="549">
        <f t="shared" si="35"/>
        <v>109256</v>
      </c>
      <c r="Y61" s="726"/>
    </row>
    <row r="62" spans="1:25" ht="15" thickTop="1" x14ac:dyDescent="0.35">
      <c r="A62" s="197" t="s">
        <v>225</v>
      </c>
      <c r="B62" s="197"/>
      <c r="C62" s="185"/>
      <c r="D62" s="185"/>
      <c r="E62" s="185"/>
      <c r="F62" s="185"/>
      <c r="G62" s="185"/>
      <c r="H62" s="185"/>
      <c r="I62" s="185">
        <f>+I61-G61</f>
        <v>16.619500000000698</v>
      </c>
      <c r="K62" s="185">
        <f>+K61-I61</f>
        <v>1429</v>
      </c>
      <c r="L62" s="185">
        <f>+L61-K61</f>
        <v>1350</v>
      </c>
      <c r="M62" s="185">
        <f>+M61-O61</f>
        <v>1744</v>
      </c>
      <c r="N62" s="185">
        <f>+N61-O61</f>
        <v>872</v>
      </c>
      <c r="O62" s="185"/>
      <c r="P62" s="185">
        <f>+P61-O61</f>
        <v>3620</v>
      </c>
      <c r="Q62" s="185">
        <f t="shared" ref="Q62:V62" si="36">+Q61-$K61</f>
        <v>7157</v>
      </c>
      <c r="R62" s="185">
        <f t="shared" si="36"/>
        <v>9912</v>
      </c>
      <c r="S62" s="185">
        <f t="shared" si="36"/>
        <v>4212</v>
      </c>
      <c r="T62" s="185">
        <f t="shared" si="36"/>
        <v>3208</v>
      </c>
      <c r="U62" s="185">
        <f t="shared" si="36"/>
        <v>199</v>
      </c>
      <c r="V62" s="185">
        <f t="shared" si="36"/>
        <v>7157</v>
      </c>
    </row>
    <row r="63" spans="1:25" x14ac:dyDescent="0.35">
      <c r="A63" s="197"/>
      <c r="B63" s="197"/>
      <c r="C63" s="185"/>
      <c r="D63" s="185"/>
      <c r="E63" s="185"/>
      <c r="F63" s="185"/>
      <c r="G63" s="185"/>
      <c r="H63" s="185"/>
      <c r="I63" s="348">
        <f>+I62/G61</f>
        <v>1.6511616318739237E-4</v>
      </c>
      <c r="J63" s="43"/>
      <c r="K63" s="551">
        <f>+K62/I61</f>
        <v>1.4194894208801033E-2</v>
      </c>
      <c r="L63" s="551">
        <f>+L62/O61</f>
        <v>1.3485974586430112E-2</v>
      </c>
      <c r="M63" s="551">
        <f>+M62/O61</f>
        <v>1.7421881243506753E-2</v>
      </c>
      <c r="N63" s="551">
        <f>+N62/O61</f>
        <v>8.7109406217533766E-3</v>
      </c>
      <c r="O63" s="348"/>
      <c r="P63" s="551">
        <f>+P62/O61</f>
        <v>3.616239111324223E-2</v>
      </c>
      <c r="Q63" s="551">
        <f t="shared" ref="Q63:V63" si="37">+Q62/$K61</f>
        <v>7.0098629761310108E-2</v>
      </c>
      <c r="R63" s="551">
        <f t="shared" si="37"/>
        <v>9.7082243704639609E-2</v>
      </c>
      <c r="S63" s="551">
        <f t="shared" si="37"/>
        <v>4.1254076925337176E-2</v>
      </c>
      <c r="T63" s="551">
        <f t="shared" si="37"/>
        <v>3.142048404000039E-2</v>
      </c>
      <c r="U63" s="551">
        <f t="shared" si="37"/>
        <v>1.949088629663366E-3</v>
      </c>
      <c r="V63" s="551">
        <f t="shared" si="37"/>
        <v>7.0098629761310108E-2</v>
      </c>
    </row>
    <row r="64" spans="1:25" hidden="1" x14ac:dyDescent="0.35">
      <c r="A64" s="259"/>
      <c r="B64" s="259"/>
      <c r="C64" s="259" t="s">
        <v>164</v>
      </c>
      <c r="D64" s="259"/>
      <c r="E64" s="259"/>
      <c r="F64" s="259"/>
      <c r="G64" s="259"/>
      <c r="H64" s="347"/>
    </row>
    <row r="65" spans="1:22" hidden="1" x14ac:dyDescent="0.35">
      <c r="A65" s="766" t="s">
        <v>165</v>
      </c>
      <c r="B65" s="196"/>
      <c r="C65" s="119">
        <f>+C61-C18</f>
        <v>87649.365145416668</v>
      </c>
      <c r="D65" s="119">
        <f>+D61-D18</f>
        <v>88947.843410416681</v>
      </c>
      <c r="E65" s="119">
        <f>+E61-E18</f>
        <v>92275.566074999995</v>
      </c>
      <c r="F65" s="119">
        <f>+F61-F18</f>
        <v>91326.469849999994</v>
      </c>
      <c r="G65" s="259"/>
      <c r="H65" s="347"/>
    </row>
    <row r="66" spans="1:22" x14ac:dyDescent="0.35">
      <c r="A66" s="259"/>
      <c r="G66" s="195"/>
      <c r="I66" s="195"/>
      <c r="K66" s="195"/>
      <c r="L66" s="195"/>
      <c r="M66" s="195"/>
      <c r="N66" s="195"/>
      <c r="O66" s="195"/>
      <c r="P66" s="195"/>
      <c r="Q66" s="195"/>
      <c r="R66" s="195"/>
      <c r="S66" s="195"/>
      <c r="T66" s="195"/>
      <c r="U66" s="195"/>
      <c r="V66" s="195"/>
    </row>
    <row r="67" spans="1:22" ht="18.5" x14ac:dyDescent="0.35">
      <c r="A67" s="767" t="s">
        <v>426</v>
      </c>
    </row>
    <row r="68" spans="1:22" ht="32" customHeight="1" thickBot="1" x14ac:dyDescent="0.4">
      <c r="A68" s="750"/>
      <c r="Q68" s="750"/>
    </row>
    <row r="69" spans="1:22" x14ac:dyDescent="0.35">
      <c r="A69" s="748" t="s">
        <v>428</v>
      </c>
      <c r="Q69" s="751" t="s">
        <v>427</v>
      </c>
    </row>
    <row r="71" spans="1:22" ht="32" customHeight="1" thickBot="1" x14ac:dyDescent="0.4">
      <c r="A71" s="750"/>
      <c r="Q71" s="750"/>
    </row>
    <row r="72" spans="1:22" x14ac:dyDescent="0.35">
      <c r="A72" s="748" t="s">
        <v>429</v>
      </c>
      <c r="Q72" s="751" t="s">
        <v>427</v>
      </c>
    </row>
    <row r="74" spans="1:22" ht="32" customHeight="1" thickBot="1" x14ac:dyDescent="0.4">
      <c r="A74" s="750"/>
      <c r="Q74" s="750"/>
    </row>
    <row r="75" spans="1:22" x14ac:dyDescent="0.35">
      <c r="A75" s="748" t="s">
        <v>430</v>
      </c>
      <c r="Q75" s="751" t="s">
        <v>427</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978" t="s">
        <v>171</v>
      </c>
    </row>
    <row r="2" spans="1:12" x14ac:dyDescent="0.35">
      <c r="B2" s="974">
        <v>43160</v>
      </c>
      <c r="C2">
        <v>2023</v>
      </c>
      <c r="D2" t="s">
        <v>486</v>
      </c>
    </row>
    <row r="3" spans="1:12" x14ac:dyDescent="0.35">
      <c r="B3" s="974">
        <v>41454</v>
      </c>
      <c r="C3">
        <v>2022</v>
      </c>
      <c r="D3" t="s">
        <v>486</v>
      </c>
    </row>
    <row r="4" spans="1:12" x14ac:dyDescent="0.35">
      <c r="A4" t="s">
        <v>517</v>
      </c>
    </row>
    <row r="6" spans="1:12" x14ac:dyDescent="0.35">
      <c r="B6" s="1467"/>
      <c r="C6" s="1467"/>
      <c r="D6" s="1467"/>
      <c r="F6" s="1467"/>
      <c r="G6" s="1467"/>
      <c r="H6" s="1467"/>
    </row>
    <row r="7" spans="1:12" ht="58" x14ac:dyDescent="0.35">
      <c r="B7" s="968" t="s">
        <v>520</v>
      </c>
      <c r="C7" s="968" t="s">
        <v>521</v>
      </c>
      <c r="D7" s="969" t="s">
        <v>203</v>
      </c>
      <c r="E7" s="1468" t="s">
        <v>519</v>
      </c>
      <c r="F7" s="1468"/>
    </row>
    <row r="8" spans="1:12" x14ac:dyDescent="0.35">
      <c r="B8" s="972">
        <v>0.4</v>
      </c>
      <c r="C8" s="973">
        <v>0.6</v>
      </c>
      <c r="E8" s="983" t="s">
        <v>104</v>
      </c>
      <c r="F8" s="983" t="s">
        <v>105</v>
      </c>
    </row>
    <row r="9" spans="1:12" x14ac:dyDescent="0.35">
      <c r="A9" s="970">
        <v>0.1</v>
      </c>
      <c r="B9" s="974">
        <v>55081</v>
      </c>
      <c r="C9" s="974">
        <v>37639</v>
      </c>
      <c r="D9" s="624">
        <f>(+B9*B$8)+(C9*C$8)</f>
        <v>44615.8</v>
      </c>
      <c r="E9" s="635">
        <f>+D9-B$3</f>
        <v>3161.8000000000029</v>
      </c>
      <c r="F9" s="975">
        <f>+E9/B$3</f>
        <v>7.6272494813528324E-2</v>
      </c>
    </row>
    <row r="10" spans="1:12" x14ac:dyDescent="0.35">
      <c r="A10" s="970">
        <v>0.25</v>
      </c>
      <c r="B10" s="974">
        <v>60846</v>
      </c>
      <c r="C10" s="974">
        <v>42100</v>
      </c>
      <c r="D10" s="624">
        <f>(+B10*B$8)+(C10*C$8)</f>
        <v>49598.400000000001</v>
      </c>
      <c r="E10" s="635">
        <f>+D10-B$3</f>
        <v>8144.4000000000015</v>
      </c>
      <c r="F10" s="975">
        <f>+E10/B$3</f>
        <v>0.19646837458387614</v>
      </c>
    </row>
    <row r="11" spans="1:12" x14ac:dyDescent="0.35">
      <c r="A11" s="971" t="s">
        <v>518</v>
      </c>
      <c r="B11" s="974">
        <v>67178</v>
      </c>
      <c r="C11" s="974">
        <v>47000</v>
      </c>
      <c r="D11" s="624">
        <f>(+B11*B$8)+(C11*C$8)</f>
        <v>55071.199999999997</v>
      </c>
      <c r="E11" s="976">
        <f>+D11-B$3</f>
        <v>13617.199999999997</v>
      </c>
      <c r="F11" s="977">
        <f>+E11/B$3</f>
        <v>0.32848940994837644</v>
      </c>
    </row>
    <row r="12" spans="1:12" x14ac:dyDescent="0.35">
      <c r="A12" s="970">
        <v>0.75</v>
      </c>
      <c r="B12" s="974">
        <v>74329</v>
      </c>
      <c r="C12" s="974">
        <v>53000</v>
      </c>
      <c r="D12" s="624">
        <f>(+B12*B$8)+(C12*C$8)</f>
        <v>61531.600000000006</v>
      </c>
      <c r="E12" s="635">
        <f>+D12-B$3</f>
        <v>20077.600000000006</v>
      </c>
      <c r="F12" s="975">
        <f>+E12/B$3</f>
        <v>0.48433444299705714</v>
      </c>
      <c r="L12" s="979"/>
    </row>
    <row r="13" spans="1:12" x14ac:dyDescent="0.35">
      <c r="A13" s="970">
        <v>0.9</v>
      </c>
      <c r="B13" s="974">
        <v>80840</v>
      </c>
      <c r="C13" s="974">
        <v>58463</v>
      </c>
      <c r="D13" s="624">
        <f>(+B13*B$8)+(C13*C$8)</f>
        <v>67413.799999999988</v>
      </c>
      <c r="E13" s="635">
        <f>+D13-B$3</f>
        <v>25959.799999999988</v>
      </c>
      <c r="F13" s="975">
        <f>+E13/B$3</f>
        <v>0.62623148550200192</v>
      </c>
    </row>
    <row r="17" spans="1:6" x14ac:dyDescent="0.35">
      <c r="A17" t="s">
        <v>522</v>
      </c>
    </row>
    <row r="18" spans="1:6" ht="43.5" x14ac:dyDescent="0.35">
      <c r="B18" s="968" t="s">
        <v>523</v>
      </c>
      <c r="C18" s="968" t="s">
        <v>524</v>
      </c>
      <c r="D18" s="969" t="s">
        <v>203</v>
      </c>
      <c r="E18" s="1468"/>
      <c r="F18" s="1468"/>
    </row>
    <row r="19" spans="1:6" x14ac:dyDescent="0.35">
      <c r="B19" s="972">
        <v>0.6</v>
      </c>
      <c r="C19" s="973">
        <v>0.4</v>
      </c>
      <c r="E19" s="983"/>
      <c r="F19" s="983"/>
    </row>
    <row r="20" spans="1:6" x14ac:dyDescent="0.35">
      <c r="A20" s="970">
        <v>0.1</v>
      </c>
      <c r="B20" s="974">
        <v>41284</v>
      </c>
      <c r="C20" s="974">
        <v>28321</v>
      </c>
      <c r="D20" s="624">
        <f>(+B20*B$8)+(C20*C$8)</f>
        <v>33506.199999999997</v>
      </c>
      <c r="E20" s="635"/>
      <c r="F20" s="975"/>
    </row>
    <row r="21" spans="1:6" x14ac:dyDescent="0.35">
      <c r="A21" s="970">
        <v>0.25</v>
      </c>
      <c r="B21" s="974">
        <v>53302</v>
      </c>
      <c r="C21" s="974">
        <v>35276</v>
      </c>
      <c r="D21" s="624">
        <f>(+B21*B$8)+(C21*C$8)</f>
        <v>42486.400000000001</v>
      </c>
      <c r="E21" s="635"/>
      <c r="F21" s="975"/>
    </row>
    <row r="22" spans="1:6" x14ac:dyDescent="0.35">
      <c r="A22" s="971" t="s">
        <v>518</v>
      </c>
      <c r="B22" s="974">
        <v>66502</v>
      </c>
      <c r="C22" s="974">
        <v>42915</v>
      </c>
      <c r="D22" s="624">
        <f>(+B22*B$8)+(C22*C$8)</f>
        <v>52349.8</v>
      </c>
      <c r="E22" s="976"/>
      <c r="F22" s="977"/>
    </row>
    <row r="23" spans="1:6" x14ac:dyDescent="0.35">
      <c r="A23" s="970">
        <v>0.75</v>
      </c>
      <c r="B23" s="974">
        <v>81702</v>
      </c>
      <c r="C23" s="974">
        <v>53123</v>
      </c>
      <c r="D23" s="624">
        <f>(+B23*B$8)+(C23*C$8)</f>
        <v>64554.600000000006</v>
      </c>
      <c r="E23" s="635"/>
      <c r="F23" s="975"/>
    </row>
    <row r="24" spans="1:6" x14ac:dyDescent="0.35">
      <c r="A24" s="970">
        <v>0.9</v>
      </c>
      <c r="B24" s="974">
        <v>95541</v>
      </c>
      <c r="C24" s="974">
        <v>62417</v>
      </c>
      <c r="D24" s="624">
        <f>(+B24*B$8)+(C24*C$8)</f>
        <v>75666.600000000006</v>
      </c>
      <c r="E24" s="635"/>
      <c r="F24" s="975"/>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7" workbookViewId="0">
      <selection activeCell="E25" sqref="E25"/>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241" t="s">
        <v>327</v>
      </c>
      <c r="B2" s="1241"/>
      <c r="C2" s="1241"/>
      <c r="D2" s="1241"/>
      <c r="E2" s="1241"/>
      <c r="F2" s="1241"/>
      <c r="G2" s="1241"/>
      <c r="H2" s="622"/>
    </row>
    <row r="3" spans="1:12" ht="15" thickBot="1" x14ac:dyDescent="0.4"/>
    <row r="4" spans="1:12" ht="44.5" thickTop="1" thickBot="1" x14ac:dyDescent="0.4">
      <c r="B4" s="641" t="s">
        <v>693</v>
      </c>
      <c r="C4" s="642" t="s">
        <v>692</v>
      </c>
      <c r="D4" s="642" t="s">
        <v>490</v>
      </c>
      <c r="E4" s="643">
        <v>2022</v>
      </c>
    </row>
    <row r="5" spans="1:12" ht="15" thickTop="1" x14ac:dyDescent="0.35">
      <c r="A5" s="640" t="s">
        <v>329</v>
      </c>
      <c r="B5" s="626">
        <f>ROUND(+'New Year-Full Year'!P14,0)</f>
        <v>416000</v>
      </c>
      <c r="C5" s="626">
        <f>ROUND(+'New Year-Full Year'!U14,0)</f>
        <v>424137</v>
      </c>
      <c r="D5" s="626">
        <f>ROUND(+'New Year-Full Year'!Q14,0)</f>
        <v>416000</v>
      </c>
      <c r="E5" s="627">
        <v>466516</v>
      </c>
      <c r="K5" s="624"/>
    </row>
    <row r="6" spans="1:12" x14ac:dyDescent="0.35">
      <c r="A6" s="628"/>
      <c r="B6" s="623"/>
      <c r="C6" s="623"/>
      <c r="D6" s="623"/>
      <c r="E6" s="984"/>
      <c r="J6" s="624"/>
    </row>
    <row r="7" spans="1:12" x14ac:dyDescent="0.35">
      <c r="A7" s="625" t="s">
        <v>330</v>
      </c>
      <c r="B7" s="623"/>
      <c r="C7" s="623"/>
      <c r="D7" s="623"/>
      <c r="E7" s="984"/>
    </row>
    <row r="8" spans="1:12" x14ac:dyDescent="0.35">
      <c r="A8" s="628" t="s">
        <v>332</v>
      </c>
      <c r="B8" s="630">
        <f>ROUND(+'New Year-Full Year'!P26,0)</f>
        <v>24900</v>
      </c>
      <c r="C8" s="630">
        <f>ROUND(+'New Year-Full Year'!U26,0)</f>
        <v>40900</v>
      </c>
      <c r="D8" s="630">
        <f>ROUND(+'New Year-Full Year'!Q26,0)</f>
        <v>24900</v>
      </c>
      <c r="E8" s="631">
        <v>37750</v>
      </c>
      <c r="J8" s="503"/>
      <c r="K8" s="967"/>
      <c r="L8" s="503"/>
    </row>
    <row r="9" spans="1:12" x14ac:dyDescent="0.35">
      <c r="A9" s="628" t="s">
        <v>333</v>
      </c>
      <c r="B9" s="630">
        <f>ROUND(+'New Year-Full Year'!P61,0)</f>
        <v>40293</v>
      </c>
      <c r="C9" s="630">
        <f>ROUND(+'New Year-Full Year'!U61,0)</f>
        <v>26656</v>
      </c>
      <c r="D9" s="630">
        <f>ROUND(+'New Year-Full Year'!Q61,0)</f>
        <v>31334</v>
      </c>
      <c r="E9" s="631">
        <v>29857</v>
      </c>
    </row>
    <row r="10" spans="1:12" x14ac:dyDescent="0.35">
      <c r="A10" s="628" t="s">
        <v>334</v>
      </c>
      <c r="B10" s="1193">
        <f>ROUND(+'New Year-Full Year'!P103,0)-1</f>
        <v>273900</v>
      </c>
      <c r="C10" s="630">
        <f>ROUND(+'New Year-Full Year'!U103,0)+1</f>
        <v>205356</v>
      </c>
      <c r="D10" s="630">
        <f>ROUND(+'New Year-Full Year'!Q103,0)</f>
        <v>284616</v>
      </c>
      <c r="E10" s="631">
        <f>266744-1</f>
        <v>266743</v>
      </c>
    </row>
    <row r="11" spans="1:12" ht="16" x14ac:dyDescent="0.5">
      <c r="A11" s="628" t="s">
        <v>335</v>
      </c>
      <c r="B11" s="632">
        <f>ROUND(+'New Year-Full Year'!P120,0)</f>
        <v>76907</v>
      </c>
      <c r="C11" s="632">
        <f>ROUND(+'New Year-Full Year'!U120,0)</f>
        <v>71173</v>
      </c>
      <c r="D11" s="632">
        <f>ROUND(+'New Year-Full Year'!Q120,0)</f>
        <v>75150</v>
      </c>
      <c r="E11" s="633">
        <v>60443</v>
      </c>
    </row>
    <row r="12" spans="1:12" x14ac:dyDescent="0.35">
      <c r="A12" s="625" t="s">
        <v>331</v>
      </c>
      <c r="B12" s="626">
        <f>SUM(B8:B11)</f>
        <v>416000</v>
      </c>
      <c r="C12" s="626">
        <f>SUM(C8:C11)</f>
        <v>344085</v>
      </c>
      <c r="D12" s="626">
        <f>SUM(D8:D11)</f>
        <v>416000</v>
      </c>
      <c r="E12" s="634">
        <f>SUM(E8:E11)</f>
        <v>394793</v>
      </c>
    </row>
    <row r="13" spans="1:12" x14ac:dyDescent="0.35">
      <c r="A13" s="628"/>
      <c r="B13" s="623"/>
      <c r="C13" s="623"/>
      <c r="D13" s="623"/>
      <c r="E13" s="629"/>
    </row>
    <row r="14" spans="1:12" x14ac:dyDescent="0.35">
      <c r="A14" s="625" t="s">
        <v>328</v>
      </c>
      <c r="B14" s="626">
        <f>+B5-B12</f>
        <v>0</v>
      </c>
      <c r="C14" s="626">
        <f>+C5-C12</f>
        <v>80052</v>
      </c>
      <c r="D14" s="626">
        <f>+D5-D12</f>
        <v>0</v>
      </c>
      <c r="E14" s="634">
        <f>+E5-E12</f>
        <v>71723</v>
      </c>
      <c r="G14" s="1240"/>
    </row>
    <row r="15" spans="1:12" x14ac:dyDescent="0.35">
      <c r="A15" s="628"/>
      <c r="B15" s="623"/>
      <c r="C15" s="623"/>
      <c r="D15" s="623"/>
      <c r="E15" s="629"/>
      <c r="G15" s="1240"/>
      <c r="H15" s="623"/>
    </row>
    <row r="16" spans="1:12" x14ac:dyDescent="0.35">
      <c r="A16" s="625" t="s">
        <v>336</v>
      </c>
      <c r="B16" s="623"/>
      <c r="C16" s="623"/>
      <c r="D16" s="623"/>
      <c r="E16" s="629"/>
      <c r="G16" s="1240"/>
      <c r="H16" s="623"/>
    </row>
    <row r="17" spans="1:8" x14ac:dyDescent="0.35">
      <c r="A17" s="628" t="s">
        <v>528</v>
      </c>
      <c r="B17" s="630">
        <f>ROUND(+'New Year-Full Year'!P122,0)</f>
        <v>0</v>
      </c>
      <c r="C17" s="630">
        <f>ROUND(+'New Year-Full Year'!U122,0)</f>
        <v>18950</v>
      </c>
      <c r="D17" s="630">
        <f>ROUND(+'New Year-Full Year'!Q122,0)</f>
        <v>0</v>
      </c>
      <c r="E17" s="631">
        <v>40150</v>
      </c>
      <c r="G17" s="37"/>
      <c r="H17" s="623"/>
    </row>
    <row r="18" spans="1:8" hidden="1" x14ac:dyDescent="0.35">
      <c r="A18" s="628" t="s">
        <v>337</v>
      </c>
      <c r="B18" s="630">
        <f>ROUND(+'New Year-Full Year'!P123,0)</f>
        <v>0</v>
      </c>
      <c r="C18" s="630">
        <f>ROUND(+'New Year-Full Year'!U123,0)</f>
        <v>0</v>
      </c>
      <c r="D18" s="630">
        <f>ROUND(+'New Year-Full Year'!Q123,0)</f>
        <v>0</v>
      </c>
      <c r="E18" s="631">
        <v>0</v>
      </c>
      <c r="G18" s="986"/>
      <c r="H18" s="623"/>
    </row>
    <row r="19" spans="1:8" ht="16" x14ac:dyDescent="0.5">
      <c r="A19" s="628" t="s">
        <v>338</v>
      </c>
      <c r="B19" s="632">
        <f>ROUND(+'New Year-Full Year'!P125,0)</f>
        <v>0</v>
      </c>
      <c r="C19" s="632">
        <f>ROUND(+'New Year-Full Year'!U125,0)</f>
        <v>61102</v>
      </c>
      <c r="D19" s="632">
        <f>ROUND(+'New Year-Full Year'!Q125,0)</f>
        <v>0</v>
      </c>
      <c r="E19" s="633">
        <v>31573</v>
      </c>
      <c r="G19" s="986"/>
      <c r="H19" s="623"/>
    </row>
    <row r="20" spans="1:8" hidden="1" x14ac:dyDescent="0.35">
      <c r="A20" s="628" t="s">
        <v>339</v>
      </c>
      <c r="B20" s="630">
        <f>ROUND(+'New Year-Full Year'!P126,0)</f>
        <v>0</v>
      </c>
      <c r="C20" s="630">
        <f>ROUND(+'New Year-Full Year'!U126,0)</f>
        <v>0</v>
      </c>
      <c r="D20" s="630">
        <f>ROUND(+'New Year-Full Year'!Q126,0)</f>
        <v>0</v>
      </c>
      <c r="E20" s="631">
        <v>0</v>
      </c>
      <c r="G20" s="986"/>
      <c r="H20" s="623"/>
    </row>
    <row r="21" spans="1:8" ht="16" hidden="1" x14ac:dyDescent="0.5">
      <c r="A21" s="628" t="s">
        <v>340</v>
      </c>
      <c r="B21" s="632">
        <f>ROUND(+'New Year-Full Year'!P127,0)</f>
        <v>0</v>
      </c>
      <c r="C21" s="632">
        <f>ROUND(+'New Year-Full Year'!U127,0)</f>
        <v>0</v>
      </c>
      <c r="D21" s="632">
        <f>ROUND(+'New Year-Full Year'!Q127,0)</f>
        <v>0</v>
      </c>
      <c r="E21" s="633">
        <v>0</v>
      </c>
      <c r="G21" s="987"/>
      <c r="H21" s="623"/>
    </row>
    <row r="22" spans="1:8" x14ac:dyDescent="0.35">
      <c r="A22" s="625" t="s">
        <v>74</v>
      </c>
      <c r="B22" s="635">
        <f>SUM(B17:B21)</f>
        <v>0</v>
      </c>
      <c r="C22" s="635">
        <f>SUM(C17:C21)</f>
        <v>80052</v>
      </c>
      <c r="D22" s="635">
        <f>SUM(D17:D21)</f>
        <v>0</v>
      </c>
      <c r="E22" s="636">
        <f>SUM(E17:E21)</f>
        <v>71723</v>
      </c>
      <c r="F22" s="624"/>
      <c r="G22" s="988"/>
      <c r="H22" s="623"/>
    </row>
    <row r="23" spans="1:8" x14ac:dyDescent="0.35">
      <c r="A23" s="628"/>
      <c r="B23" s="644"/>
      <c r="C23" s="644"/>
      <c r="D23" s="644"/>
      <c r="E23" s="645"/>
    </row>
    <row r="24" spans="1:8" ht="15" thickBot="1" x14ac:dyDescent="0.4">
      <c r="A24" s="637" t="s">
        <v>341</v>
      </c>
      <c r="B24" s="702">
        <f>ROUND(+B14-B22,0)</f>
        <v>0</v>
      </c>
      <c r="C24" s="702">
        <f>ROUND(+C14-C22,0)</f>
        <v>0</v>
      </c>
      <c r="D24" s="638">
        <f>+D14-D22</f>
        <v>0</v>
      </c>
      <c r="E24" s="639">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Y167"/>
  <sheetViews>
    <sheetView showGridLines="0" tabSelected="1" topLeftCell="B3" workbookViewId="0">
      <pane xSplit="14" ySplit="2" topLeftCell="P125" activePane="bottomRight" state="frozen"/>
      <selection activeCell="I112" sqref="I112"/>
      <selection pane="topRight" activeCell="I112" sqref="I112"/>
      <selection pane="bottomLeft" activeCell="I112" sqref="I112"/>
      <selection pane="bottomRight" activeCell="P101" sqref="P101"/>
    </sheetView>
  </sheetViews>
  <sheetFormatPr defaultColWidth="9.08984375" defaultRowHeight="14.5" outlineLevelRow="2" outlineLevelCol="2" x14ac:dyDescent="0.35"/>
  <cols>
    <col min="1" max="1" width="4.453125" style="40" hidden="1" customWidth="1"/>
    <col min="2" max="2" width="4.36328125" style="1096" customWidth="1"/>
    <col min="3" max="3" width="9.08984375" style="1069"/>
    <col min="4" max="4" width="21.1796875" style="1097" customWidth="1"/>
    <col min="5" max="5" width="11.54296875" style="54" hidden="1" customWidth="1" outlineLevel="1"/>
    <col min="6" max="6" width="11.36328125" style="36" hidden="1" customWidth="1" outlineLevel="1"/>
    <col min="7" max="7" width="8.6328125" style="36" hidden="1" customWidth="1" outlineLevel="1"/>
    <col min="8" max="8" width="10" style="36" hidden="1" customWidth="1" outlineLevel="1"/>
    <col min="9" max="9" width="10.6328125" style="36" hidden="1" customWidth="1" outlineLevel="2"/>
    <col min="10" max="10" width="8.08984375" style="36" hidden="1" customWidth="1" outlineLevel="2"/>
    <col min="11" max="11" width="10.36328125" style="36" hidden="1" customWidth="1" outlineLevel="2"/>
    <col min="12" max="12" width="7.08984375" style="36" hidden="1" customWidth="1" outlineLevel="2"/>
    <col min="13" max="14" width="8.36328125" style="36"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10" style="1" customWidth="1"/>
    <col min="20" max="20" width="2.6328125" style="337" customWidth="1"/>
    <col min="21" max="21" width="10.90625" style="1" customWidth="1"/>
    <col min="22" max="22" width="10.453125" style="1" customWidth="1"/>
    <col min="23" max="23" width="9" style="4" customWidth="1"/>
    <col min="24" max="24" width="66.26953125" style="1069" customWidth="1"/>
    <col min="25" max="25" width="8.6328125" style="1" customWidth="1"/>
    <col min="26" max="16384" width="9.08984375" style="1"/>
  </cols>
  <sheetData>
    <row r="1" spans="1:24" ht="41.25" customHeight="1" x14ac:dyDescent="0.35">
      <c r="B1" s="1223" t="s">
        <v>80</v>
      </c>
      <c r="C1" s="1223"/>
      <c r="D1" s="1223"/>
      <c r="E1" s="1223"/>
      <c r="F1" s="1223"/>
      <c r="G1" s="1223"/>
      <c r="H1" s="1223"/>
      <c r="I1" s="1223"/>
      <c r="J1" s="1223"/>
      <c r="K1" s="1223"/>
      <c r="L1" s="1223"/>
      <c r="M1" s="1223"/>
      <c r="N1" s="1223"/>
      <c r="O1" s="1223"/>
      <c r="P1" s="1223"/>
      <c r="Q1" s="1223"/>
      <c r="R1" s="1223"/>
      <c r="S1" s="1223"/>
      <c r="T1" s="1223"/>
      <c r="U1" s="1223"/>
      <c r="V1" s="1223"/>
      <c r="W1" s="1223"/>
      <c r="X1" s="1223"/>
    </row>
    <row r="2" spans="1:24" ht="23.25" customHeight="1" x14ac:dyDescent="0.35">
      <c r="P2" s="1228" t="s">
        <v>79</v>
      </c>
      <c r="Q2" s="1229"/>
      <c r="R2" s="1229"/>
      <c r="S2" s="1230"/>
      <c r="U2" s="1252" t="str">
        <f>Bud_Yr-1&amp;" Year to Date (YTD)"</f>
        <v>2023 Year to Date (YTD)</v>
      </c>
      <c r="V2" s="1253"/>
      <c r="W2" s="1254"/>
      <c r="X2" s="1059"/>
    </row>
    <row r="3" spans="1:24" ht="27.65" customHeight="1" x14ac:dyDescent="0.35">
      <c r="P3" s="1261" t="str">
        <f>Bud_Yr&amp;" Budget"</f>
        <v>2024 Budget</v>
      </c>
      <c r="Q3" s="1263" t="str">
        <f>Bud_Yr-1&amp;" Budget"</f>
        <v>2023 Budget</v>
      </c>
      <c r="R3" s="1255" t="str">
        <f>Bud_Yr&amp;" Budget vs             "&amp;Bud_Yr-1&amp;" Budget"</f>
        <v>2024 Budget vs             2023 Budget</v>
      </c>
      <c r="S3" s="1256"/>
      <c r="T3" s="338"/>
      <c r="U3" s="1257" t="s">
        <v>690</v>
      </c>
      <c r="V3" s="1259" t="s">
        <v>691</v>
      </c>
      <c r="W3" s="1238" t="s">
        <v>78</v>
      </c>
      <c r="X3" s="1060"/>
    </row>
    <row r="4" spans="1:24" s="2" customFormat="1" x14ac:dyDescent="0.35">
      <c r="A4" s="41"/>
      <c r="B4" s="1096"/>
      <c r="C4" s="1096"/>
      <c r="D4" s="1098"/>
      <c r="E4" s="55"/>
      <c r="F4" s="56"/>
      <c r="G4" s="56"/>
      <c r="H4" s="56"/>
      <c r="I4" s="56"/>
      <c r="J4" s="56"/>
      <c r="K4" s="56"/>
      <c r="L4" s="56"/>
      <c r="M4" s="56"/>
      <c r="N4" s="56"/>
      <c r="P4" s="1262"/>
      <c r="Q4" s="1264"/>
      <c r="R4" s="45" t="s">
        <v>104</v>
      </c>
      <c r="S4" s="47" t="s">
        <v>105</v>
      </c>
      <c r="T4" s="562"/>
      <c r="U4" s="1258"/>
      <c r="V4" s="1260"/>
      <c r="W4" s="1239"/>
      <c r="X4" s="1061" t="str">
        <f>Bud_Yr&amp;" Budget Notes"</f>
        <v>2024 Budget Notes</v>
      </c>
    </row>
    <row r="5" spans="1:24" s="2" customFormat="1" ht="23.5" x14ac:dyDescent="0.35">
      <c r="A5" s="41"/>
      <c r="B5" s="1095" t="s">
        <v>0</v>
      </c>
      <c r="C5" s="1096"/>
      <c r="D5" s="1098"/>
      <c r="E5" s="55"/>
      <c r="F5" s="56"/>
      <c r="G5" s="56"/>
      <c r="H5" s="56"/>
      <c r="I5" s="56"/>
      <c r="J5" s="56"/>
      <c r="K5" s="56"/>
      <c r="L5" s="56"/>
      <c r="M5" s="56"/>
      <c r="N5" s="56"/>
      <c r="P5" s="6"/>
      <c r="Q5" s="7"/>
      <c r="R5" s="37"/>
      <c r="S5" s="7"/>
      <c r="T5" s="562"/>
      <c r="U5" s="7"/>
      <c r="V5" s="7"/>
      <c r="W5" s="7"/>
      <c r="X5" s="1060"/>
    </row>
    <row r="6" spans="1:24" s="769" customFormat="1" ht="13.5" customHeight="1" x14ac:dyDescent="0.35">
      <c r="A6" s="768">
        <v>1</v>
      </c>
      <c r="B6" s="1099" t="s">
        <v>1</v>
      </c>
      <c r="C6" s="1062"/>
      <c r="D6" s="1100"/>
      <c r="E6" s="770"/>
      <c r="F6" s="771"/>
      <c r="G6" s="771"/>
      <c r="H6" s="771"/>
      <c r="I6" s="771"/>
      <c r="J6" s="771"/>
      <c r="K6" s="771"/>
      <c r="L6" s="771"/>
      <c r="M6" s="771"/>
      <c r="N6" s="771"/>
      <c r="T6" s="1139"/>
      <c r="W6" s="771"/>
      <c r="X6" s="1062"/>
    </row>
    <row r="7" spans="1:24" ht="13.5" customHeight="1" x14ac:dyDescent="0.35">
      <c r="A7" s="40">
        <v>2</v>
      </c>
      <c r="C7" s="1101" t="s">
        <v>644</v>
      </c>
      <c r="D7" s="1102"/>
      <c r="E7" s="339"/>
      <c r="F7" s="340"/>
      <c r="G7" s="340"/>
      <c r="H7" s="340"/>
      <c r="I7" s="340"/>
      <c r="J7" s="340"/>
      <c r="K7" s="340"/>
      <c r="L7" s="340"/>
      <c r="M7" s="340"/>
      <c r="N7" s="340"/>
      <c r="O7" s="337"/>
      <c r="P7" s="344">
        <v>400000</v>
      </c>
      <c r="Q7" s="344">
        <v>400000</v>
      </c>
      <c r="R7" s="342">
        <f t="shared" ref="R7:R11" si="0">+P7-Q7</f>
        <v>0</v>
      </c>
      <c r="S7" s="343">
        <f t="shared" ref="S7:S12" si="1">IF(Q7=0,"NA",(+P7-Q7)/Q7)</f>
        <v>0</v>
      </c>
      <c r="U7" s="341">
        <v>401220.44</v>
      </c>
      <c r="V7" s="341">
        <v>400000</v>
      </c>
      <c r="W7" s="343">
        <f t="shared" ref="W7:W12" si="2">IF(V7=0,"NA",(+U7-V7)/V7)</f>
        <v>3.0511000000000058E-3</v>
      </c>
      <c r="X7" s="1063"/>
    </row>
    <row r="8" spans="1:24" ht="13.5" customHeight="1" x14ac:dyDescent="0.35">
      <c r="A8" s="40">
        <v>4</v>
      </c>
      <c r="C8" s="1058" t="s">
        <v>2</v>
      </c>
      <c r="D8" s="1103"/>
      <c r="E8" s="214"/>
      <c r="F8" s="215"/>
      <c r="G8" s="215"/>
      <c r="H8" s="215"/>
      <c r="I8" s="215"/>
      <c r="J8" s="215"/>
      <c r="K8" s="215"/>
      <c r="L8" s="215"/>
      <c r="M8" s="215"/>
      <c r="N8" s="215"/>
      <c r="O8" s="205"/>
      <c r="P8" s="202">
        <v>3000</v>
      </c>
      <c r="Q8" s="202">
        <v>3000</v>
      </c>
      <c r="R8" s="203">
        <f t="shared" si="0"/>
        <v>0</v>
      </c>
      <c r="S8" s="204">
        <f t="shared" si="1"/>
        <v>0</v>
      </c>
      <c r="U8" s="202">
        <v>3121</v>
      </c>
      <c r="V8" s="202">
        <v>3000</v>
      </c>
      <c r="W8" s="204">
        <f t="shared" si="2"/>
        <v>4.0333333333333332E-2</v>
      </c>
      <c r="X8" s="1064"/>
    </row>
    <row r="9" spans="1:24" ht="13.5" customHeight="1" x14ac:dyDescent="0.35">
      <c r="A9" s="40">
        <v>5</v>
      </c>
      <c r="C9" s="1058" t="s">
        <v>3</v>
      </c>
      <c r="D9" s="1103"/>
      <c r="E9" s="214"/>
      <c r="F9" s="215"/>
      <c r="G9" s="215"/>
      <c r="H9" s="215"/>
      <c r="I9" s="215"/>
      <c r="J9" s="215"/>
      <c r="K9" s="215"/>
      <c r="L9" s="215"/>
      <c r="M9" s="215"/>
      <c r="N9" s="215"/>
      <c r="O9" s="205"/>
      <c r="P9" s="202">
        <v>500</v>
      </c>
      <c r="Q9" s="202">
        <v>500</v>
      </c>
      <c r="R9" s="203">
        <f t="shared" si="0"/>
        <v>0</v>
      </c>
      <c r="S9" s="204">
        <f t="shared" si="1"/>
        <v>0</v>
      </c>
      <c r="U9" s="202">
        <v>245</v>
      </c>
      <c r="V9" s="202">
        <v>500</v>
      </c>
      <c r="W9" s="204">
        <f t="shared" si="2"/>
        <v>-0.51</v>
      </c>
      <c r="X9" s="1064"/>
    </row>
    <row r="10" spans="1:24" ht="13.5" customHeight="1" x14ac:dyDescent="0.35">
      <c r="A10" s="40">
        <v>6</v>
      </c>
      <c r="C10" s="1058" t="s">
        <v>4</v>
      </c>
      <c r="D10" s="1103"/>
      <c r="E10" s="214"/>
      <c r="F10" s="215"/>
      <c r="G10" s="215"/>
      <c r="H10" s="215"/>
      <c r="I10" s="215"/>
      <c r="J10" s="215"/>
      <c r="K10" s="215"/>
      <c r="L10" s="215"/>
      <c r="M10" s="215"/>
      <c r="N10" s="215"/>
      <c r="O10" s="205"/>
      <c r="P10" s="202">
        <v>5000</v>
      </c>
      <c r="Q10" s="202">
        <v>5000</v>
      </c>
      <c r="R10" s="203">
        <f t="shared" si="0"/>
        <v>0</v>
      </c>
      <c r="S10" s="204">
        <f t="shared" si="1"/>
        <v>0</v>
      </c>
      <c r="U10" s="202">
        <v>4258</v>
      </c>
      <c r="V10" s="202">
        <v>5000</v>
      </c>
      <c r="W10" s="204">
        <f t="shared" si="2"/>
        <v>-0.1484</v>
      </c>
      <c r="X10" s="1064"/>
    </row>
    <row r="11" spans="1:24" ht="13.5" customHeight="1" x14ac:dyDescent="0.35">
      <c r="A11" s="40">
        <v>7</v>
      </c>
      <c r="C11" s="1058" t="s">
        <v>5</v>
      </c>
      <c r="D11" s="1103"/>
      <c r="E11" s="214"/>
      <c r="F11" s="215"/>
      <c r="G11" s="215"/>
      <c r="H11" s="215"/>
      <c r="I11" s="215"/>
      <c r="J11" s="215"/>
      <c r="K11" s="215"/>
      <c r="L11" s="215"/>
      <c r="M11" s="215"/>
      <c r="N11" s="215"/>
      <c r="O11" s="205"/>
      <c r="P11" s="202">
        <v>1500</v>
      </c>
      <c r="Q11" s="202">
        <v>1500</v>
      </c>
      <c r="R11" s="203">
        <f t="shared" si="0"/>
        <v>0</v>
      </c>
      <c r="S11" s="204">
        <f t="shared" si="1"/>
        <v>0</v>
      </c>
      <c r="U11" s="202">
        <v>1460</v>
      </c>
      <c r="V11" s="202">
        <v>1500</v>
      </c>
      <c r="W11" s="204">
        <f t="shared" si="2"/>
        <v>-2.6666666666666668E-2</v>
      </c>
      <c r="X11" s="1064"/>
    </row>
    <row r="12" spans="1:24" ht="13.5" customHeight="1" x14ac:dyDescent="0.35">
      <c r="A12" s="40">
        <v>8</v>
      </c>
      <c r="B12" s="1104" t="s">
        <v>6</v>
      </c>
      <c r="C12" s="1104"/>
      <c r="D12" s="1104"/>
      <c r="E12" s="57"/>
      <c r="F12" s="57"/>
      <c r="G12" s="57"/>
      <c r="H12" s="57"/>
      <c r="I12" s="57"/>
      <c r="J12" s="57"/>
      <c r="K12" s="57"/>
      <c r="L12" s="57"/>
      <c r="M12" s="57"/>
      <c r="N12" s="57"/>
      <c r="O12" s="8"/>
      <c r="P12" s="8">
        <f>SUM(P7:P11)</f>
        <v>410000</v>
      </c>
      <c r="Q12" s="8">
        <f>SUM(Q7:Q11)</f>
        <v>410000</v>
      </c>
      <c r="R12" s="8">
        <f>SUM(R7:R11)</f>
        <v>0</v>
      </c>
      <c r="S12" s="9">
        <f t="shared" si="1"/>
        <v>0</v>
      </c>
      <c r="U12" s="8">
        <f>SUM(U7:U11)</f>
        <v>410304.44</v>
      </c>
      <c r="V12" s="8">
        <f>SUM(V7:V11)</f>
        <v>410000</v>
      </c>
      <c r="W12" s="9">
        <f t="shared" si="2"/>
        <v>7.4253658536585932E-4</v>
      </c>
      <c r="X12" s="1065"/>
    </row>
    <row r="13" spans="1:24" ht="13.5" customHeight="1" x14ac:dyDescent="0.35">
      <c r="A13" s="40">
        <v>16</v>
      </c>
      <c r="B13" s="1138"/>
      <c r="C13" s="1105" t="s">
        <v>663</v>
      </c>
      <c r="D13" s="1106"/>
      <c r="E13" s="217"/>
      <c r="F13" s="218"/>
      <c r="G13" s="218"/>
      <c r="H13" s="218"/>
      <c r="I13" s="218"/>
      <c r="J13" s="218"/>
      <c r="K13" s="218"/>
      <c r="L13" s="218"/>
      <c r="M13" s="218"/>
      <c r="N13" s="218"/>
      <c r="O13" s="209"/>
      <c r="P13" s="206">
        <v>6000</v>
      </c>
      <c r="Q13" s="206">
        <v>6000</v>
      </c>
      <c r="R13" s="207">
        <f>+P13-Q13</f>
        <v>0</v>
      </c>
      <c r="S13" s="208">
        <f>IF(Q13=0,"NA",(+P13-Q13)/Q13)</f>
        <v>0</v>
      </c>
      <c r="U13" s="206">
        <f>9660.18+4164.32+8.1</f>
        <v>13832.6</v>
      </c>
      <c r="V13" s="206">
        <v>6000</v>
      </c>
      <c r="W13" s="208">
        <f>IF(V13=0,"NA",(+U13-V13)/V13)</f>
        <v>1.3054333333333334</v>
      </c>
      <c r="X13" s="1066" t="s">
        <v>654</v>
      </c>
    </row>
    <row r="14" spans="1:24" ht="17" customHeight="1" x14ac:dyDescent="0.35">
      <c r="A14" s="40">
        <v>17</v>
      </c>
      <c r="B14" s="1104" t="s">
        <v>8</v>
      </c>
      <c r="C14" s="1104"/>
      <c r="D14" s="1104"/>
      <c r="E14" s="57"/>
      <c r="F14" s="57"/>
      <c r="G14" s="57"/>
      <c r="H14" s="57"/>
      <c r="I14" s="57"/>
      <c r="J14" s="57"/>
      <c r="K14" s="57"/>
      <c r="L14" s="57"/>
      <c r="M14" s="57"/>
      <c r="N14" s="57"/>
      <c r="O14" s="8"/>
      <c r="P14" s="8">
        <f>+P12+P13</f>
        <v>416000</v>
      </c>
      <c r="Q14" s="8">
        <f>+Q12+Q13</f>
        <v>416000</v>
      </c>
      <c r="R14" s="8">
        <f>+R12+R13</f>
        <v>0</v>
      </c>
      <c r="S14" s="9">
        <f>IF(Q14=0,"NA",(+P14-Q14)/Q14)</f>
        <v>0</v>
      </c>
      <c r="U14" s="8">
        <f>+U12+U13</f>
        <v>424137.04</v>
      </c>
      <c r="V14" s="8">
        <f>+V12+V13</f>
        <v>416000</v>
      </c>
      <c r="W14" s="9">
        <f>IF(V14=0,"NA",(+U14-V14)/V14)</f>
        <v>1.9560192307692258E-2</v>
      </c>
      <c r="X14" s="1067"/>
    </row>
    <row r="15" spans="1:24" s="773" customFormat="1" ht="23.5" customHeight="1" x14ac:dyDescent="0.55000000000000004">
      <c r="A15" s="772">
        <v>19</v>
      </c>
      <c r="B15" s="1107" t="s">
        <v>9</v>
      </c>
      <c r="C15" s="1068"/>
      <c r="D15" s="1108"/>
      <c r="E15" s="774"/>
      <c r="F15" s="775"/>
      <c r="G15" s="775"/>
      <c r="H15" s="775"/>
      <c r="I15" s="775"/>
      <c r="J15" s="775"/>
      <c r="K15" s="775"/>
      <c r="L15" s="775"/>
      <c r="M15" s="775"/>
      <c r="N15" s="775"/>
      <c r="S15" s="775"/>
      <c r="T15" s="1140"/>
      <c r="W15" s="775"/>
      <c r="X15" s="1068"/>
    </row>
    <row r="16" spans="1:24" ht="17" customHeight="1" x14ac:dyDescent="0.35">
      <c r="B16" s="1109" t="s">
        <v>85</v>
      </c>
      <c r="S16" s="36"/>
      <c r="W16" s="36"/>
    </row>
    <row r="17" spans="1:25" ht="13.5" customHeight="1" x14ac:dyDescent="0.35">
      <c r="B17" s="1109"/>
      <c r="C17" s="1110" t="s">
        <v>251</v>
      </c>
      <c r="D17" s="1111"/>
      <c r="E17" s="211"/>
      <c r="F17" s="212"/>
      <c r="G17" s="212"/>
      <c r="H17" s="212"/>
      <c r="I17" s="212"/>
      <c r="J17" s="212"/>
      <c r="K17" s="212"/>
      <c r="L17" s="212"/>
      <c r="M17" s="212"/>
      <c r="N17" s="212"/>
      <c r="O17" s="201"/>
      <c r="P17" s="221">
        <f>18150-1000</f>
        <v>17150</v>
      </c>
      <c r="Q17" s="221">
        <v>18150</v>
      </c>
      <c r="R17" s="199">
        <f t="shared" ref="R17:R25" si="3">+P17-Q17</f>
        <v>-1000</v>
      </c>
      <c r="S17" s="200">
        <f t="shared" ref="S17:S25" si="4">IF(Q17=0,"NA",(+P17-Q17)/Q17)</f>
        <v>-5.5096418732782371E-2</v>
      </c>
      <c r="U17" s="198">
        <v>18150</v>
      </c>
      <c r="V17" s="198">
        <v>18150</v>
      </c>
      <c r="W17" s="200">
        <f t="shared" ref="W17:W25" si="5">IF(V17=0,"NA",(+U17-V17)/V17)</f>
        <v>0</v>
      </c>
      <c r="X17" s="1070"/>
    </row>
    <row r="18" spans="1:25" ht="13.5" customHeight="1" x14ac:dyDescent="0.35">
      <c r="B18" s="1109"/>
      <c r="C18" s="1058" t="s">
        <v>380</v>
      </c>
      <c r="D18" s="1103"/>
      <c r="E18" s="214"/>
      <c r="F18" s="215"/>
      <c r="G18" s="215"/>
      <c r="H18" s="215"/>
      <c r="I18" s="215"/>
      <c r="J18" s="215"/>
      <c r="K18" s="215"/>
      <c r="L18" s="215"/>
      <c r="M18" s="215"/>
      <c r="N18" s="215"/>
      <c r="O18" s="205"/>
      <c r="P18" s="219">
        <v>500</v>
      </c>
      <c r="Q18" s="219">
        <v>500</v>
      </c>
      <c r="R18" s="199">
        <f t="shared" si="3"/>
        <v>0</v>
      </c>
      <c r="S18" s="200">
        <f t="shared" si="4"/>
        <v>0</v>
      </c>
      <c r="U18" s="198">
        <v>5300</v>
      </c>
      <c r="V18" s="198">
        <v>500</v>
      </c>
      <c r="W18" s="200">
        <f t="shared" si="5"/>
        <v>9.6</v>
      </c>
      <c r="X18" s="1070"/>
    </row>
    <row r="19" spans="1:25" ht="13.5" customHeight="1" x14ac:dyDescent="0.35">
      <c r="B19" s="1109"/>
      <c r="C19" s="1058" t="s">
        <v>260</v>
      </c>
      <c r="D19" s="1103"/>
      <c r="E19" s="214"/>
      <c r="F19" s="215"/>
      <c r="G19" s="215"/>
      <c r="H19" s="215"/>
      <c r="I19" s="215"/>
      <c r="J19" s="215"/>
      <c r="K19" s="215"/>
      <c r="L19" s="215"/>
      <c r="M19" s="215"/>
      <c r="N19" s="215"/>
      <c r="O19" s="205"/>
      <c r="P19" s="219">
        <v>1500</v>
      </c>
      <c r="Q19" s="219">
        <v>1500</v>
      </c>
      <c r="R19" s="199">
        <f t="shared" si="3"/>
        <v>0</v>
      </c>
      <c r="S19" s="200">
        <f t="shared" si="4"/>
        <v>0</v>
      </c>
      <c r="U19" s="198">
        <v>3100</v>
      </c>
      <c r="V19" s="198">
        <v>1500</v>
      </c>
      <c r="W19" s="200">
        <f t="shared" si="5"/>
        <v>1.0666666666666667</v>
      </c>
      <c r="X19" s="1070"/>
    </row>
    <row r="20" spans="1:25" ht="13.5" customHeight="1" x14ac:dyDescent="0.35">
      <c r="B20" s="1109"/>
      <c r="C20" s="1058" t="s">
        <v>526</v>
      </c>
      <c r="D20" s="1103"/>
      <c r="E20" s="214"/>
      <c r="F20" s="215"/>
      <c r="G20" s="215"/>
      <c r="H20" s="215"/>
      <c r="I20" s="215"/>
      <c r="J20" s="215"/>
      <c r="K20" s="215"/>
      <c r="L20" s="215"/>
      <c r="M20" s="215"/>
      <c r="N20" s="215"/>
      <c r="O20" s="205"/>
      <c r="P20" s="219">
        <v>750</v>
      </c>
      <c r="Q20" s="219">
        <v>750</v>
      </c>
      <c r="R20" s="199">
        <f t="shared" si="3"/>
        <v>0</v>
      </c>
      <c r="S20" s="200">
        <f t="shared" si="4"/>
        <v>0</v>
      </c>
      <c r="U20" s="198">
        <v>2350</v>
      </c>
      <c r="V20" s="198">
        <v>750</v>
      </c>
      <c r="W20" s="200">
        <f t="shared" si="5"/>
        <v>2.1333333333333333</v>
      </c>
      <c r="X20" s="1070"/>
    </row>
    <row r="21" spans="1:25" ht="13.5" customHeight="1" x14ac:dyDescent="0.35">
      <c r="B21" s="1109"/>
      <c r="C21" s="1058" t="s">
        <v>525</v>
      </c>
      <c r="D21" s="1103"/>
      <c r="E21" s="214"/>
      <c r="F21" s="215"/>
      <c r="G21" s="215"/>
      <c r="H21" s="215"/>
      <c r="I21" s="215"/>
      <c r="J21" s="215"/>
      <c r="K21" s="215"/>
      <c r="L21" s="215"/>
      <c r="M21" s="215"/>
      <c r="N21" s="215"/>
      <c r="O21" s="205"/>
      <c r="P21" s="219">
        <v>1000</v>
      </c>
      <c r="Q21" s="219">
        <v>1000</v>
      </c>
      <c r="R21" s="199">
        <f t="shared" si="3"/>
        <v>0</v>
      </c>
      <c r="S21" s="200">
        <f t="shared" si="4"/>
        <v>0</v>
      </c>
      <c r="U21" s="198">
        <v>1000</v>
      </c>
      <c r="V21" s="198">
        <v>1000</v>
      </c>
      <c r="W21" s="200">
        <f t="shared" si="5"/>
        <v>0</v>
      </c>
      <c r="X21" s="1070"/>
    </row>
    <row r="22" spans="1:25" ht="13.5" customHeight="1" x14ac:dyDescent="0.35">
      <c r="B22" s="1109"/>
      <c r="C22" s="1058" t="s">
        <v>645</v>
      </c>
      <c r="D22" s="1103"/>
      <c r="E22" s="214"/>
      <c r="F22" s="215"/>
      <c r="G22" s="215"/>
      <c r="H22" s="215"/>
      <c r="I22" s="215"/>
      <c r="J22" s="215"/>
      <c r="K22" s="215"/>
      <c r="L22" s="215"/>
      <c r="M22" s="215"/>
      <c r="N22" s="215"/>
      <c r="O22" s="205"/>
      <c r="P22" s="219">
        <v>1000</v>
      </c>
      <c r="Q22" s="219">
        <v>0</v>
      </c>
      <c r="R22" s="199">
        <f t="shared" ref="R22" si="6">+P22-Q22</f>
        <v>1000</v>
      </c>
      <c r="S22" s="200" t="str">
        <f t="shared" ref="S22" si="7">IF(Q22=0,"NA",(+P22-Q22)/Q22)</f>
        <v>NA</v>
      </c>
      <c r="U22" s="198">
        <v>3200</v>
      </c>
      <c r="V22" s="198">
        <v>0</v>
      </c>
      <c r="W22" s="200" t="str">
        <f t="shared" ref="W22" si="8">IF(V22=0,"NA",(+U22-V22)/V22)</f>
        <v>NA</v>
      </c>
      <c r="X22" s="1070" t="s">
        <v>646</v>
      </c>
    </row>
    <row r="23" spans="1:25" ht="13.5" customHeight="1" x14ac:dyDescent="0.35">
      <c r="B23" s="1109"/>
      <c r="C23" s="1058" t="s">
        <v>256</v>
      </c>
      <c r="D23" s="1103"/>
      <c r="E23" s="214"/>
      <c r="F23" s="215"/>
      <c r="G23" s="215"/>
      <c r="H23" s="215"/>
      <c r="I23" s="215"/>
      <c r="J23" s="215"/>
      <c r="K23" s="215"/>
      <c r="L23" s="215"/>
      <c r="M23" s="215"/>
      <c r="N23" s="215"/>
      <c r="O23" s="205"/>
      <c r="P23" s="219">
        <v>1000</v>
      </c>
      <c r="Q23" s="219">
        <v>1000</v>
      </c>
      <c r="R23" s="199">
        <f t="shared" si="3"/>
        <v>0</v>
      </c>
      <c r="S23" s="200">
        <f t="shared" si="4"/>
        <v>0</v>
      </c>
      <c r="U23" s="198">
        <v>2600</v>
      </c>
      <c r="V23" s="198">
        <v>1000</v>
      </c>
      <c r="W23" s="200">
        <f t="shared" si="5"/>
        <v>1.6</v>
      </c>
      <c r="X23" s="1070"/>
    </row>
    <row r="24" spans="1:25" ht="13.5" customHeight="1" x14ac:dyDescent="0.35">
      <c r="B24" s="1109"/>
      <c r="C24" s="1058" t="s">
        <v>379</v>
      </c>
      <c r="D24" s="1103"/>
      <c r="E24" s="214"/>
      <c r="F24" s="215"/>
      <c r="G24" s="215"/>
      <c r="H24" s="215"/>
      <c r="I24" s="215"/>
      <c r="J24" s="215"/>
      <c r="K24" s="215"/>
      <c r="L24" s="215"/>
      <c r="M24" s="215"/>
      <c r="N24" s="215"/>
      <c r="O24" s="205"/>
      <c r="P24" s="219">
        <v>1000</v>
      </c>
      <c r="Q24" s="219">
        <v>1000</v>
      </c>
      <c r="R24" s="199">
        <f t="shared" si="3"/>
        <v>0</v>
      </c>
      <c r="S24" s="200">
        <f t="shared" si="4"/>
        <v>0</v>
      </c>
      <c r="U24" s="198">
        <v>2600</v>
      </c>
      <c r="V24" s="198">
        <v>1000</v>
      </c>
      <c r="W24" s="200">
        <f t="shared" si="5"/>
        <v>1.6</v>
      </c>
      <c r="X24" s="1070"/>
    </row>
    <row r="25" spans="1:25" ht="13.5" customHeight="1" x14ac:dyDescent="0.35">
      <c r="B25" s="1109"/>
      <c r="C25" s="1058" t="s">
        <v>258</v>
      </c>
      <c r="D25" s="1103"/>
      <c r="E25" s="214"/>
      <c r="F25" s="215"/>
      <c r="G25" s="215"/>
      <c r="H25" s="215"/>
      <c r="I25" s="215"/>
      <c r="J25" s="215"/>
      <c r="K25" s="215"/>
      <c r="L25" s="215"/>
      <c r="M25" s="215"/>
      <c r="N25" s="215"/>
      <c r="O25" s="205"/>
      <c r="P25" s="219">
        <v>1000</v>
      </c>
      <c r="Q25" s="219">
        <v>1000</v>
      </c>
      <c r="R25" s="199">
        <f t="shared" si="3"/>
        <v>0</v>
      </c>
      <c r="S25" s="200">
        <f t="shared" si="4"/>
        <v>0</v>
      </c>
      <c r="U25" s="198">
        <v>2600</v>
      </c>
      <c r="V25" s="198">
        <v>1000</v>
      </c>
      <c r="W25" s="200">
        <f t="shared" si="5"/>
        <v>1.6</v>
      </c>
      <c r="X25" s="1070"/>
    </row>
    <row r="26" spans="1:25" s="2" customFormat="1" ht="24.5" customHeight="1" x14ac:dyDescent="0.35">
      <c r="A26" s="40">
        <v>26</v>
      </c>
      <c r="B26" s="1112">
        <v>0.08</v>
      </c>
      <c r="C26" s="1271" t="str">
        <f>ROUND((P26/P14),3)*100&amp;"% Benevolence Budget                    "&amp;ROUND((U26/U14),3)*100&amp;"% Actual YTD"</f>
        <v>6% Benevolence Budget                    9.6% Actual YTD</v>
      </c>
      <c r="D26" s="1271"/>
      <c r="E26" s="58"/>
      <c r="F26" s="59"/>
      <c r="G26" s="59"/>
      <c r="H26" s="59"/>
      <c r="I26" s="59"/>
      <c r="J26" s="59"/>
      <c r="K26" s="59"/>
      <c r="L26" s="59"/>
      <c r="M26" s="59"/>
      <c r="N26" s="59"/>
      <c r="O26" s="10"/>
      <c r="P26" s="10">
        <f>SUM(P17:P25)</f>
        <v>24900</v>
      </c>
      <c r="Q26" s="10">
        <f>SUM(Q17:Q25)</f>
        <v>24900</v>
      </c>
      <c r="R26" s="10">
        <f>+P26-Q26</f>
        <v>0</v>
      </c>
      <c r="S26" s="12">
        <f>IF(Q26=0,"NA",(+P26-Q26)/Q26)</f>
        <v>0</v>
      </c>
      <c r="T26" s="337"/>
      <c r="U26" s="489">
        <f>SUM(U17:U25)</f>
        <v>40900</v>
      </c>
      <c r="V26" s="489">
        <f>SUM(V17:V25)</f>
        <v>24900</v>
      </c>
      <c r="W26" s="12">
        <f>IF(V26=0,"NA",(+U26-V26)/V26)</f>
        <v>0.64257028112449799</v>
      </c>
      <c r="X26" s="1071" t="s">
        <v>655</v>
      </c>
      <c r="Y26" s="2" t="s">
        <v>290</v>
      </c>
    </row>
    <row r="27" spans="1:25" s="2" customFormat="1" ht="17" customHeight="1" x14ac:dyDescent="0.35">
      <c r="A27" s="40">
        <v>28</v>
      </c>
      <c r="B27" s="1113" t="s">
        <v>56</v>
      </c>
      <c r="C27" s="1114"/>
      <c r="D27" s="1098"/>
      <c r="E27" s="55"/>
      <c r="F27" s="55"/>
      <c r="G27" s="55"/>
      <c r="H27" s="55"/>
      <c r="I27" s="55"/>
      <c r="J27" s="55"/>
      <c r="K27" s="55"/>
      <c r="L27" s="55"/>
      <c r="M27" s="55"/>
      <c r="N27" s="55"/>
      <c r="O27" s="13"/>
      <c r="P27" s="488"/>
      <c r="Q27" s="759"/>
      <c r="R27" s="13"/>
      <c r="S27" s="16"/>
      <c r="T27" s="337"/>
      <c r="U27" s="13"/>
      <c r="V27" s="13"/>
      <c r="W27" s="16"/>
      <c r="X27" s="1072"/>
    </row>
    <row r="28" spans="1:25" s="769" customFormat="1" ht="13.5" customHeight="1" x14ac:dyDescent="0.35">
      <c r="A28" s="768">
        <v>29</v>
      </c>
      <c r="B28" s="1099" t="s">
        <v>10</v>
      </c>
      <c r="C28" s="1062"/>
      <c r="D28" s="1100"/>
      <c r="E28" s="770"/>
      <c r="F28" s="771"/>
      <c r="G28" s="771"/>
      <c r="H28" s="771"/>
      <c r="I28" s="771"/>
      <c r="J28" s="771"/>
      <c r="K28" s="771"/>
      <c r="L28" s="771"/>
      <c r="M28" s="771"/>
      <c r="N28" s="771"/>
      <c r="S28" s="771"/>
      <c r="T28" s="1139"/>
      <c r="W28" s="771"/>
      <c r="X28" s="1062"/>
    </row>
    <row r="29" spans="1:25" ht="13.5" customHeight="1" x14ac:dyDescent="0.35">
      <c r="A29" s="40">
        <v>30</v>
      </c>
      <c r="C29" s="1101" t="s">
        <v>77</v>
      </c>
      <c r="D29" s="1102"/>
      <c r="E29" s="339"/>
      <c r="F29" s="340"/>
      <c r="G29" s="340"/>
      <c r="H29" s="340"/>
      <c r="I29" s="340"/>
      <c r="J29" s="340"/>
      <c r="K29" s="340"/>
      <c r="L29" s="340"/>
      <c r="M29" s="340"/>
      <c r="N29" s="340"/>
      <c r="O29" s="337"/>
      <c r="P29" s="341">
        <v>1250</v>
      </c>
      <c r="Q29" s="341">
        <v>1250</v>
      </c>
      <c r="R29" s="342">
        <f t="shared" ref="R29:R34" si="9">+P29-Q29</f>
        <v>0</v>
      </c>
      <c r="S29" s="343">
        <f t="shared" ref="S29:S35" si="10">IF(Q29=0,"NA",(+P29-Q29)/Q29)</f>
        <v>0</v>
      </c>
      <c r="U29" s="341">
        <v>924.7</v>
      </c>
      <c r="V29" s="341">
        <v>1250</v>
      </c>
      <c r="W29" s="343">
        <f t="shared" ref="W29:W35" si="11">IF(V29=0,"NA",(+U29-V29)/V29)</f>
        <v>-0.26023999999999997</v>
      </c>
      <c r="X29" s="1073"/>
    </row>
    <row r="30" spans="1:25" ht="13.5" customHeight="1" x14ac:dyDescent="0.35">
      <c r="A30" s="40">
        <v>31</v>
      </c>
      <c r="C30" s="1105" t="s">
        <v>11</v>
      </c>
      <c r="D30" s="1106"/>
      <c r="E30" s="217"/>
      <c r="F30" s="218"/>
      <c r="G30" s="218"/>
      <c r="H30" s="218"/>
      <c r="I30" s="218"/>
      <c r="J30" s="218"/>
      <c r="K30" s="218"/>
      <c r="L30" s="218"/>
      <c r="M30" s="218"/>
      <c r="N30" s="218"/>
      <c r="O30" s="209"/>
      <c r="P30" s="206">
        <v>750</v>
      </c>
      <c r="Q30" s="206">
        <v>750</v>
      </c>
      <c r="R30" s="207">
        <f t="shared" si="9"/>
        <v>0</v>
      </c>
      <c r="S30" s="208">
        <f t="shared" si="10"/>
        <v>0</v>
      </c>
      <c r="U30" s="206">
        <v>103.1</v>
      </c>
      <c r="V30" s="206">
        <v>750</v>
      </c>
      <c r="W30" s="208">
        <f t="shared" si="11"/>
        <v>-0.86253333333333326</v>
      </c>
      <c r="X30" s="1074"/>
    </row>
    <row r="31" spans="1:25" ht="13.5" customHeight="1" x14ac:dyDescent="0.35">
      <c r="A31" s="40">
        <v>32</v>
      </c>
      <c r="C31" s="1105" t="s">
        <v>229</v>
      </c>
      <c r="D31" s="1106"/>
      <c r="E31" s="217"/>
      <c r="F31" s="218"/>
      <c r="G31" s="218"/>
      <c r="H31" s="218"/>
      <c r="I31" s="218"/>
      <c r="J31" s="218"/>
      <c r="K31" s="218"/>
      <c r="L31" s="218"/>
      <c r="M31" s="218"/>
      <c r="N31" s="218"/>
      <c r="O31" s="209"/>
      <c r="P31" s="206">
        <v>250</v>
      </c>
      <c r="Q31" s="206">
        <v>250</v>
      </c>
      <c r="R31" s="207">
        <f t="shared" si="9"/>
        <v>0</v>
      </c>
      <c r="S31" s="208">
        <f t="shared" si="10"/>
        <v>0</v>
      </c>
      <c r="U31" s="206">
        <v>250</v>
      </c>
      <c r="V31" s="206">
        <v>250</v>
      </c>
      <c r="W31" s="208">
        <f t="shared" si="11"/>
        <v>0</v>
      </c>
      <c r="X31" s="1074"/>
    </row>
    <row r="32" spans="1:25" ht="13.5" customHeight="1" x14ac:dyDescent="0.35">
      <c r="A32" s="40">
        <v>33</v>
      </c>
      <c r="C32" s="1105" t="s">
        <v>12</v>
      </c>
      <c r="D32" s="1106"/>
      <c r="E32" s="217"/>
      <c r="F32" s="218"/>
      <c r="G32" s="218"/>
      <c r="H32" s="218"/>
      <c r="I32" s="218"/>
      <c r="J32" s="218"/>
      <c r="K32" s="218"/>
      <c r="L32" s="218"/>
      <c r="M32" s="218"/>
      <c r="N32" s="218"/>
      <c r="O32" s="209"/>
      <c r="P32" s="206">
        <v>300</v>
      </c>
      <c r="Q32" s="206">
        <v>300</v>
      </c>
      <c r="R32" s="207">
        <f t="shared" si="9"/>
        <v>0</v>
      </c>
      <c r="S32" s="208">
        <f t="shared" si="10"/>
        <v>0</v>
      </c>
      <c r="U32" s="206">
        <v>300</v>
      </c>
      <c r="V32" s="206">
        <v>300</v>
      </c>
      <c r="W32" s="208">
        <f t="shared" si="11"/>
        <v>0</v>
      </c>
      <c r="X32" s="1074"/>
    </row>
    <row r="33" spans="1:24" ht="13.5" customHeight="1" x14ac:dyDescent="0.35">
      <c r="A33" s="40">
        <v>34</v>
      </c>
      <c r="C33" s="1105" t="s">
        <v>223</v>
      </c>
      <c r="D33" s="1106"/>
      <c r="E33" s="217"/>
      <c r="F33" s="218"/>
      <c r="G33" s="218"/>
      <c r="H33" s="218"/>
      <c r="I33" s="218"/>
      <c r="J33" s="218"/>
      <c r="K33" s="218"/>
      <c r="L33" s="218"/>
      <c r="M33" s="218"/>
      <c r="N33" s="218"/>
      <c r="O33" s="209"/>
      <c r="P33" s="206">
        <v>200</v>
      </c>
      <c r="Q33" s="206">
        <v>200</v>
      </c>
      <c r="R33" s="207">
        <f t="shared" si="9"/>
        <v>0</v>
      </c>
      <c r="S33" s="208">
        <f t="shared" si="10"/>
        <v>0</v>
      </c>
      <c r="U33" s="206">
        <v>62.06</v>
      </c>
      <c r="V33" s="206">
        <v>200</v>
      </c>
      <c r="W33" s="208">
        <f t="shared" si="11"/>
        <v>-0.68969999999999998</v>
      </c>
      <c r="X33" s="1074"/>
    </row>
    <row r="34" spans="1:24" ht="13.5" customHeight="1" x14ac:dyDescent="0.35">
      <c r="C34" s="1105" t="s">
        <v>100</v>
      </c>
      <c r="D34" s="1106"/>
      <c r="E34" s="217"/>
      <c r="F34" s="218"/>
      <c r="G34" s="218"/>
      <c r="H34" s="218"/>
      <c r="I34" s="218"/>
      <c r="J34" s="218"/>
      <c r="K34" s="218"/>
      <c r="L34" s="218"/>
      <c r="M34" s="218"/>
      <c r="N34" s="218"/>
      <c r="O34" s="209"/>
      <c r="P34" s="206">
        <v>800</v>
      </c>
      <c r="Q34" s="206">
        <v>400</v>
      </c>
      <c r="R34" s="207">
        <f t="shared" si="9"/>
        <v>400</v>
      </c>
      <c r="S34" s="208">
        <f>IF(Q34=0,"NA",(+P34-Q34)/Q34)</f>
        <v>1</v>
      </c>
      <c r="U34" s="206">
        <v>0.83</v>
      </c>
      <c r="V34" s="206">
        <v>400</v>
      </c>
      <c r="W34" s="208">
        <f>IF(V34=0,"NA",(+U34-V34)/V34)</f>
        <v>-0.99792500000000006</v>
      </c>
      <c r="X34" s="1074" t="s">
        <v>661</v>
      </c>
    </row>
    <row r="35" spans="1:24" s="2" customFormat="1" ht="13.5" customHeight="1" x14ac:dyDescent="0.35">
      <c r="A35" s="40">
        <v>36</v>
      </c>
      <c r="B35" s="1115" t="s">
        <v>14</v>
      </c>
      <c r="C35" s="1115"/>
      <c r="D35" s="1115"/>
      <c r="E35" s="60"/>
      <c r="F35" s="60"/>
      <c r="G35" s="60"/>
      <c r="H35" s="60"/>
      <c r="I35" s="60"/>
      <c r="J35" s="60"/>
      <c r="K35" s="60"/>
      <c r="L35" s="60"/>
      <c r="M35" s="60"/>
      <c r="N35" s="60"/>
      <c r="O35" s="34"/>
      <c r="P35" s="18">
        <f>SUM(P29:P34)</f>
        <v>3550</v>
      </c>
      <c r="Q35" s="34">
        <f>SUM(Q29:Q34)</f>
        <v>3150</v>
      </c>
      <c r="R35" s="34">
        <f>SUM(R29:R34)</f>
        <v>400</v>
      </c>
      <c r="S35" s="19">
        <f t="shared" si="10"/>
        <v>0.12698412698412698</v>
      </c>
      <c r="T35" s="562"/>
      <c r="U35" s="34">
        <f>SUM(U29:U34)</f>
        <v>1640.6899999999998</v>
      </c>
      <c r="V35" s="34">
        <f>SUM(V29:V34)</f>
        <v>3150</v>
      </c>
      <c r="W35" s="19">
        <f t="shared" si="11"/>
        <v>-0.47914603174603182</v>
      </c>
      <c r="X35" s="1075"/>
    </row>
    <row r="36" spans="1:24" ht="13.5" customHeight="1" x14ac:dyDescent="0.35">
      <c r="A36" s="40">
        <v>40</v>
      </c>
      <c r="B36" s="1099" t="s">
        <v>109</v>
      </c>
      <c r="S36" s="4"/>
    </row>
    <row r="37" spans="1:24" ht="13.5" customHeight="1" x14ac:dyDescent="0.35">
      <c r="A37" s="40">
        <v>41</v>
      </c>
      <c r="C37" s="1101" t="s">
        <v>15</v>
      </c>
      <c r="D37" s="1102"/>
      <c r="E37" s="339"/>
      <c r="F37" s="340"/>
      <c r="G37" s="340"/>
      <c r="H37" s="340"/>
      <c r="I37" s="340"/>
      <c r="J37" s="340"/>
      <c r="K37" s="340"/>
      <c r="L37" s="340"/>
      <c r="M37" s="340"/>
      <c r="N37" s="340"/>
      <c r="O37" s="337"/>
      <c r="P37" s="344">
        <v>3000</v>
      </c>
      <c r="Q37" s="344">
        <v>3000</v>
      </c>
      <c r="R37" s="342">
        <f>+P37-Q37</f>
        <v>0</v>
      </c>
      <c r="S37" s="343">
        <f t="shared" ref="S37:S42" si="12">IF(Q37=0,"NA",(+P37-Q37)/Q37)</f>
        <v>0</v>
      </c>
      <c r="U37" s="341">
        <v>2312.75</v>
      </c>
      <c r="V37" s="341">
        <v>3000</v>
      </c>
      <c r="W37" s="343">
        <f t="shared" ref="W37:W42" si="13">IF(V37=0,"NA",(+U37-V37)/V37)</f>
        <v>-0.22908333333333333</v>
      </c>
      <c r="X37" s="1063"/>
    </row>
    <row r="38" spans="1:24" ht="13.5" customHeight="1" x14ac:dyDescent="0.35">
      <c r="A38" s="40">
        <v>44</v>
      </c>
      <c r="C38" s="1058" t="s">
        <v>17</v>
      </c>
      <c r="D38" s="1103"/>
      <c r="E38" s="214"/>
      <c r="F38" s="215"/>
      <c r="G38" s="215"/>
      <c r="H38" s="215"/>
      <c r="I38" s="215"/>
      <c r="J38" s="215"/>
      <c r="K38" s="215"/>
      <c r="L38" s="215"/>
      <c r="M38" s="215"/>
      <c r="N38" s="215"/>
      <c r="O38" s="205"/>
      <c r="P38" s="202">
        <v>200</v>
      </c>
      <c r="Q38" s="202">
        <v>200</v>
      </c>
      <c r="R38" s="203">
        <f>+P38-Q38</f>
        <v>0</v>
      </c>
      <c r="S38" s="204">
        <f t="shared" si="12"/>
        <v>0</v>
      </c>
      <c r="U38" s="202">
        <v>88</v>
      </c>
      <c r="V38" s="202">
        <v>200</v>
      </c>
      <c r="W38" s="204">
        <f t="shared" si="13"/>
        <v>-0.56000000000000005</v>
      </c>
      <c r="X38" s="1064"/>
    </row>
    <row r="39" spans="1:24" s="2" customFormat="1" ht="13.5" customHeight="1" x14ac:dyDescent="0.35">
      <c r="A39" s="40">
        <v>45</v>
      </c>
      <c r="B39" s="1115" t="s">
        <v>110</v>
      </c>
      <c r="C39" s="1115"/>
      <c r="D39" s="1115"/>
      <c r="E39" s="60"/>
      <c r="F39" s="60"/>
      <c r="G39" s="60"/>
      <c r="H39" s="60"/>
      <c r="I39" s="60"/>
      <c r="J39" s="60"/>
      <c r="K39" s="60"/>
      <c r="L39" s="60"/>
      <c r="M39" s="60"/>
      <c r="N39" s="60"/>
      <c r="O39" s="34"/>
      <c r="P39" s="18">
        <f>SUM(P37:P38)</f>
        <v>3200</v>
      </c>
      <c r="Q39" s="34">
        <f>SUM(Q37:Q38)</f>
        <v>3200</v>
      </c>
      <c r="R39" s="34">
        <f>SUM(R37:R38)</f>
        <v>0</v>
      </c>
      <c r="S39" s="19">
        <f t="shared" si="12"/>
        <v>0</v>
      </c>
      <c r="T39" s="562"/>
      <c r="U39" s="34">
        <f>SUM(U37:U38)</f>
        <v>2400.75</v>
      </c>
      <c r="V39" s="34">
        <f>SUM(V37:V38)</f>
        <v>3200</v>
      </c>
      <c r="W39" s="19">
        <f t="shared" si="13"/>
        <v>-0.24976562499999999</v>
      </c>
      <c r="X39" s="1075"/>
    </row>
    <row r="40" spans="1:24" s="13" customFormat="1" ht="13.5" customHeight="1" x14ac:dyDescent="0.35">
      <c r="A40" s="1051">
        <v>51</v>
      </c>
      <c r="B40" s="1098" t="s">
        <v>18</v>
      </c>
      <c r="D40" s="1116"/>
      <c r="E40" s="55"/>
      <c r="F40" s="55"/>
      <c r="G40" s="55"/>
      <c r="H40" s="55"/>
      <c r="I40" s="55"/>
      <c r="J40" s="55"/>
      <c r="K40" s="55"/>
      <c r="L40" s="55"/>
      <c r="M40" s="55"/>
      <c r="N40" s="55"/>
      <c r="P40" s="50">
        <v>3000</v>
      </c>
      <c r="Q40" s="50">
        <v>3000</v>
      </c>
      <c r="R40" s="256">
        <f>+P40-Q40</f>
        <v>0</v>
      </c>
      <c r="S40" s="1052">
        <f t="shared" si="12"/>
        <v>0</v>
      </c>
      <c r="T40" s="1040"/>
      <c r="U40" s="50">
        <v>674.92</v>
      </c>
      <c r="V40" s="50">
        <v>3000</v>
      </c>
      <c r="W40" s="1052">
        <f t="shared" si="13"/>
        <v>-0.77502666666666664</v>
      </c>
      <c r="X40" s="1076"/>
    </row>
    <row r="41" spans="1:24" s="13" customFormat="1" ht="13.5" customHeight="1" x14ac:dyDescent="0.35">
      <c r="A41" s="1051">
        <v>56</v>
      </c>
      <c r="B41" s="1192" t="s">
        <v>87</v>
      </c>
      <c r="D41" s="1117"/>
      <c r="E41" s="1053"/>
      <c r="F41" s="1053"/>
      <c r="G41" s="1053"/>
      <c r="H41" s="1053"/>
      <c r="I41" s="1053"/>
      <c r="J41" s="1053"/>
      <c r="K41" s="1053"/>
      <c r="L41" s="1053"/>
      <c r="M41" s="1053"/>
      <c r="N41" s="1053"/>
      <c r="O41" s="1054"/>
      <c r="P41" s="219">
        <v>400</v>
      </c>
      <c r="Q41" s="219">
        <v>400</v>
      </c>
      <c r="R41" s="235">
        <f>+P41-Q41</f>
        <v>0</v>
      </c>
      <c r="S41" s="1055">
        <f t="shared" si="12"/>
        <v>0</v>
      </c>
      <c r="T41" s="1040"/>
      <c r="U41" s="219">
        <v>604.41</v>
      </c>
      <c r="V41" s="219">
        <v>400</v>
      </c>
      <c r="W41" s="1055">
        <f t="shared" si="13"/>
        <v>0.51102499999999995</v>
      </c>
      <c r="X41" s="1058" t="s">
        <v>660</v>
      </c>
    </row>
    <row r="42" spans="1:24" s="46" customFormat="1" ht="13.5" customHeight="1" x14ac:dyDescent="0.35">
      <c r="A42" s="1051">
        <v>58</v>
      </c>
      <c r="B42" s="1192" t="s">
        <v>381</v>
      </c>
      <c r="D42" s="1117"/>
      <c r="E42" s="214"/>
      <c r="F42" s="214"/>
      <c r="G42" s="214"/>
      <c r="H42" s="214"/>
      <c r="I42" s="214"/>
      <c r="J42" s="214"/>
      <c r="K42" s="214"/>
      <c r="L42" s="214"/>
      <c r="M42" s="214"/>
      <c r="N42" s="214"/>
      <c r="O42" s="213"/>
      <c r="P42" s="219">
        <v>200</v>
      </c>
      <c r="Q42" s="219">
        <v>200</v>
      </c>
      <c r="R42" s="1056">
        <f>+P42-Q42</f>
        <v>0</v>
      </c>
      <c r="S42" s="1057">
        <f t="shared" si="12"/>
        <v>0</v>
      </c>
      <c r="T42" s="338"/>
      <c r="U42" s="219">
        <v>0</v>
      </c>
      <c r="V42" s="219">
        <v>200</v>
      </c>
      <c r="W42" s="1057">
        <f t="shared" si="13"/>
        <v>-1</v>
      </c>
      <c r="X42" s="1077" t="s">
        <v>656</v>
      </c>
    </row>
    <row r="43" spans="1:24" ht="13.5" customHeight="1" x14ac:dyDescent="0.35">
      <c r="A43" s="40">
        <v>60</v>
      </c>
      <c r="B43" s="1099" t="s">
        <v>20</v>
      </c>
      <c r="S43" s="4"/>
    </row>
    <row r="44" spans="1:24" ht="13.5" customHeight="1" x14ac:dyDescent="0.35">
      <c r="A44" s="40">
        <v>61</v>
      </c>
      <c r="C44" s="1110" t="s">
        <v>21</v>
      </c>
      <c r="D44" s="1111"/>
      <c r="E44" s="211"/>
      <c r="F44" s="212"/>
      <c r="G44" s="212"/>
      <c r="H44" s="212"/>
      <c r="I44" s="212"/>
      <c r="J44" s="212"/>
      <c r="K44" s="212"/>
      <c r="L44" s="212"/>
      <c r="M44" s="212"/>
      <c r="N44" s="212"/>
      <c r="O44" s="201"/>
      <c r="P44" s="221">
        <v>200</v>
      </c>
      <c r="Q44" s="221">
        <v>200</v>
      </c>
      <c r="R44" s="199">
        <f t="shared" ref="R44:R50" si="14">+P44-Q44</f>
        <v>0</v>
      </c>
      <c r="S44" s="200">
        <f t="shared" ref="S44:S51" si="15">IF(Q44=0,"NA",(+P44-Q44)/Q44)</f>
        <v>0</v>
      </c>
      <c r="U44" s="198">
        <v>0</v>
      </c>
      <c r="V44" s="198">
        <v>200</v>
      </c>
      <c r="W44" s="200">
        <f t="shared" ref="W44:W51" si="16">IF(V44=0,"NA",(+U44-V44)/V44)</f>
        <v>-1</v>
      </c>
      <c r="X44" s="1070"/>
    </row>
    <row r="45" spans="1:24" ht="13.5" customHeight="1" x14ac:dyDescent="0.35">
      <c r="C45" s="1101" t="s">
        <v>24</v>
      </c>
      <c r="D45" s="1102"/>
      <c r="E45" s="339"/>
      <c r="F45" s="340"/>
      <c r="G45" s="340"/>
      <c r="H45" s="340"/>
      <c r="I45" s="340"/>
      <c r="J45" s="340"/>
      <c r="K45" s="340"/>
      <c r="L45" s="340"/>
      <c r="M45" s="340"/>
      <c r="N45" s="340"/>
      <c r="O45" s="337"/>
      <c r="P45" s="221">
        <v>400</v>
      </c>
      <c r="Q45" s="221">
        <v>0</v>
      </c>
      <c r="R45" s="199">
        <f t="shared" ref="R45" si="17">+P45-Q45</f>
        <v>400</v>
      </c>
      <c r="S45" s="200" t="str">
        <f t="shared" ref="S45" si="18">IF(Q45=0,"NA",(+P45-Q45)/Q45)</f>
        <v>NA</v>
      </c>
      <c r="U45" s="198">
        <v>0</v>
      </c>
      <c r="V45" s="198">
        <v>0</v>
      </c>
      <c r="W45" s="200" t="str">
        <f t="shared" ref="W45" si="19">IF(V45=0,"NA",(+U45-V45)/V45)</f>
        <v>NA</v>
      </c>
      <c r="X45" s="1070" t="s">
        <v>658</v>
      </c>
    </row>
    <row r="46" spans="1:24" ht="13.5" customHeight="1" x14ac:dyDescent="0.35">
      <c r="C46" s="1058" t="s">
        <v>649</v>
      </c>
      <c r="D46" s="1103"/>
      <c r="E46" s="339"/>
      <c r="F46" s="340"/>
      <c r="G46" s="340"/>
      <c r="H46" s="340"/>
      <c r="I46" s="340"/>
      <c r="J46" s="340"/>
      <c r="K46" s="340"/>
      <c r="L46" s="340"/>
      <c r="M46" s="340"/>
      <c r="N46" s="340"/>
      <c r="O46" s="337"/>
      <c r="P46" s="221">
        <v>500</v>
      </c>
      <c r="Q46" s="221">
        <v>0</v>
      </c>
      <c r="R46" s="199">
        <f t="shared" ref="R46" si="20">+P46-Q46</f>
        <v>500</v>
      </c>
      <c r="S46" s="200" t="str">
        <f t="shared" ref="S46" si="21">IF(Q46=0,"NA",(+P46-Q46)/Q46)</f>
        <v>NA</v>
      </c>
      <c r="U46" s="198">
        <v>0</v>
      </c>
      <c r="V46" s="198">
        <v>0</v>
      </c>
      <c r="W46" s="200" t="str">
        <f t="shared" ref="W46" si="22">IF(V46=0,"NA",(+U46-V46)/V46)</f>
        <v>NA</v>
      </c>
      <c r="X46" s="1070" t="s">
        <v>659</v>
      </c>
    </row>
    <row r="47" spans="1:24" ht="13.5" customHeight="1" x14ac:dyDescent="0.35">
      <c r="C47" s="1105" t="s">
        <v>22</v>
      </c>
      <c r="D47" s="1106"/>
      <c r="E47" s="217"/>
      <c r="F47" s="218"/>
      <c r="G47" s="218"/>
      <c r="H47" s="218"/>
      <c r="I47" s="218"/>
      <c r="J47" s="218"/>
      <c r="K47" s="218"/>
      <c r="L47" s="218"/>
      <c r="M47" s="218"/>
      <c r="N47" s="218"/>
      <c r="O47" s="209"/>
      <c r="P47" s="220">
        <v>300</v>
      </c>
      <c r="Q47" s="220">
        <v>300</v>
      </c>
      <c r="R47" s="207">
        <f>+P47-Q47</f>
        <v>0</v>
      </c>
      <c r="S47" s="208">
        <f>IF(Q47=0,"NA",(+P47-Q47)/Q47)</f>
        <v>0</v>
      </c>
      <c r="U47" s="206">
        <v>354.21</v>
      </c>
      <c r="V47" s="206">
        <v>300</v>
      </c>
      <c r="W47" s="208">
        <f>IF(V47=0,"NA",(+U47-V47)/V47)</f>
        <v>0.18069999999999994</v>
      </c>
      <c r="X47" s="1074"/>
    </row>
    <row r="48" spans="1:24" ht="13.5" customHeight="1" x14ac:dyDescent="0.35">
      <c r="A48" s="40">
        <v>63</v>
      </c>
      <c r="C48" s="1105" t="s">
        <v>23</v>
      </c>
      <c r="D48" s="1106"/>
      <c r="E48" s="217"/>
      <c r="F48" s="218"/>
      <c r="G48" s="218"/>
      <c r="H48" s="218"/>
      <c r="I48" s="218"/>
      <c r="J48" s="218"/>
      <c r="K48" s="218"/>
      <c r="L48" s="218"/>
      <c r="M48" s="218"/>
      <c r="N48" s="218"/>
      <c r="O48" s="209"/>
      <c r="P48" s="220">
        <v>500</v>
      </c>
      <c r="Q48" s="220">
        <v>1000</v>
      </c>
      <c r="R48" s="207">
        <f t="shared" si="14"/>
        <v>-500</v>
      </c>
      <c r="S48" s="208">
        <f t="shared" si="15"/>
        <v>-0.5</v>
      </c>
      <c r="U48" s="206">
        <v>0</v>
      </c>
      <c r="V48" s="206">
        <v>1000</v>
      </c>
      <c r="W48" s="208">
        <f t="shared" si="16"/>
        <v>-1</v>
      </c>
      <c r="X48" s="1074" t="s">
        <v>657</v>
      </c>
    </row>
    <row r="49" spans="1:25" ht="13.5" customHeight="1" x14ac:dyDescent="0.35">
      <c r="C49" s="1058" t="s">
        <v>227</v>
      </c>
      <c r="D49" s="1103"/>
      <c r="E49" s="214"/>
      <c r="F49" s="215"/>
      <c r="G49" s="215"/>
      <c r="H49" s="215"/>
      <c r="I49" s="215"/>
      <c r="J49" s="215"/>
      <c r="K49" s="215"/>
      <c r="L49" s="215"/>
      <c r="M49" s="215"/>
      <c r="N49" s="215"/>
      <c r="O49" s="205"/>
      <c r="P49" s="219">
        <v>700</v>
      </c>
      <c r="Q49" s="219">
        <v>200</v>
      </c>
      <c r="R49" s="203">
        <f>+P49-Q49</f>
        <v>500</v>
      </c>
      <c r="S49" s="204">
        <f>IF(Q49=0,"NA",(+P49-Q49)/Q49)</f>
        <v>2.5</v>
      </c>
      <c r="U49" s="202">
        <v>722.02</v>
      </c>
      <c r="V49" s="202">
        <v>200</v>
      </c>
      <c r="W49" s="204">
        <f>IF(V49=0,"NA",(+U49-V49)/V49)</f>
        <v>2.6101000000000001</v>
      </c>
      <c r="X49" s="1078" t="s">
        <v>653</v>
      </c>
    </row>
    <row r="50" spans="1:25" ht="13.5" customHeight="1" x14ac:dyDescent="0.35">
      <c r="A50" s="40">
        <v>65</v>
      </c>
      <c r="C50" s="1105" t="s">
        <v>107</v>
      </c>
      <c r="D50" s="1106"/>
      <c r="E50" s="217"/>
      <c r="F50" s="218"/>
      <c r="G50" s="218"/>
      <c r="H50" s="218"/>
      <c r="I50" s="218"/>
      <c r="J50" s="218"/>
      <c r="K50" s="218"/>
      <c r="L50" s="218"/>
      <c r="M50" s="218"/>
      <c r="N50" s="218"/>
      <c r="O50" s="209"/>
      <c r="P50" s="220">
        <f>1575-91</f>
        <v>1484</v>
      </c>
      <c r="Q50" s="220">
        <f>1575-91</f>
        <v>1484</v>
      </c>
      <c r="R50" s="207">
        <f t="shared" si="14"/>
        <v>0</v>
      </c>
      <c r="S50" s="208">
        <f t="shared" si="15"/>
        <v>0</v>
      </c>
      <c r="U50" s="220">
        <v>120</v>
      </c>
      <c r="V50" s="220">
        <v>1484</v>
      </c>
      <c r="W50" s="208">
        <f t="shared" si="16"/>
        <v>-0.91913746630727766</v>
      </c>
      <c r="X50" s="1063" t="s">
        <v>662</v>
      </c>
    </row>
    <row r="51" spans="1:25" s="2" customFormat="1" ht="13.5" customHeight="1" x14ac:dyDescent="0.35">
      <c r="A51" s="40">
        <v>66</v>
      </c>
      <c r="B51" s="1115" t="s">
        <v>25</v>
      </c>
      <c r="C51" s="1115"/>
      <c r="D51" s="1115"/>
      <c r="E51" s="60"/>
      <c r="F51" s="60"/>
      <c r="G51" s="60"/>
      <c r="H51" s="60"/>
      <c r="I51" s="60"/>
      <c r="J51" s="60"/>
      <c r="K51" s="60"/>
      <c r="L51" s="60"/>
      <c r="M51" s="60"/>
      <c r="N51" s="60"/>
      <c r="O51" s="34"/>
      <c r="P51" s="18">
        <f>SUM(P44:P50)</f>
        <v>4084</v>
      </c>
      <c r="Q51" s="34">
        <f>SUM(Q44:Q50)</f>
        <v>3184</v>
      </c>
      <c r="R51" s="34">
        <f>SUM(R44:R50)</f>
        <v>900</v>
      </c>
      <c r="S51" s="19">
        <f t="shared" si="15"/>
        <v>0.28266331658291455</v>
      </c>
      <c r="T51" s="562"/>
      <c r="U51" s="34">
        <f>SUM(U44:U50)</f>
        <v>1196.23</v>
      </c>
      <c r="V51" s="34">
        <f>SUM(V44:V50)</f>
        <v>3184</v>
      </c>
      <c r="W51" s="19">
        <f t="shared" si="16"/>
        <v>-0.62429962311557785</v>
      </c>
      <c r="X51" s="1075"/>
    </row>
    <row r="52" spans="1:25" ht="13.5" customHeight="1" x14ac:dyDescent="0.35">
      <c r="A52" s="40">
        <v>68</v>
      </c>
      <c r="B52" s="1099" t="s">
        <v>26</v>
      </c>
      <c r="S52" s="4"/>
    </row>
    <row r="53" spans="1:25" ht="13.5" customHeight="1" x14ac:dyDescent="0.35">
      <c r="A53" s="40">
        <v>69</v>
      </c>
      <c r="C53" s="1110" t="s">
        <v>27</v>
      </c>
      <c r="D53" s="1111"/>
      <c r="E53" s="211"/>
      <c r="F53" s="212"/>
      <c r="G53" s="212"/>
      <c r="H53" s="212"/>
      <c r="I53" s="212"/>
      <c r="J53" s="212"/>
      <c r="K53" s="212"/>
      <c r="L53" s="212"/>
      <c r="M53" s="212"/>
      <c r="N53" s="212"/>
      <c r="O53" s="201"/>
      <c r="P53" s="221">
        <v>2000</v>
      </c>
      <c r="Q53" s="221">
        <v>2000</v>
      </c>
      <c r="R53" s="199">
        <f t="shared" ref="R53:R58" si="23">+P53-Q53</f>
        <v>0</v>
      </c>
      <c r="S53" s="200">
        <f t="shared" ref="S53:S61" si="24">IF(Q53=0,"NA",(+P53-Q53)/Q53)</f>
        <v>0</v>
      </c>
      <c r="U53" s="198">
        <v>1555.75</v>
      </c>
      <c r="V53" s="198">
        <v>2000</v>
      </c>
      <c r="W53" s="200">
        <f t="shared" ref="W53:W61" si="25">IF(V53=0,"NA",(+U53-V53)/V53)</f>
        <v>-0.22212499999999999</v>
      </c>
      <c r="X53" s="1070"/>
    </row>
    <row r="54" spans="1:25" ht="13.5" customHeight="1" x14ac:dyDescent="0.35">
      <c r="A54" s="40">
        <v>70</v>
      </c>
      <c r="C54" s="1058" t="s">
        <v>28</v>
      </c>
      <c r="D54" s="1103"/>
      <c r="E54" s="214"/>
      <c r="F54" s="215"/>
      <c r="G54" s="215"/>
      <c r="H54" s="215"/>
      <c r="I54" s="215"/>
      <c r="J54" s="215"/>
      <c r="K54" s="215"/>
      <c r="L54" s="215"/>
      <c r="M54" s="215"/>
      <c r="N54" s="215"/>
      <c r="O54" s="205"/>
      <c r="P54" s="202">
        <v>2000</v>
      </c>
      <c r="Q54" s="202">
        <v>2000</v>
      </c>
      <c r="R54" s="203">
        <f t="shared" si="23"/>
        <v>0</v>
      </c>
      <c r="S54" s="204">
        <f t="shared" si="24"/>
        <v>0</v>
      </c>
      <c r="U54" s="202">
        <v>1290</v>
      </c>
      <c r="V54" s="202">
        <v>2000</v>
      </c>
      <c r="W54" s="204">
        <f t="shared" si="25"/>
        <v>-0.35499999999999998</v>
      </c>
      <c r="X54" s="1070"/>
    </row>
    <row r="55" spans="1:25" ht="13.5" customHeight="1" x14ac:dyDescent="0.35">
      <c r="C55" s="1058" t="s">
        <v>606</v>
      </c>
      <c r="D55" s="1103"/>
      <c r="E55" s="214"/>
      <c r="F55" s="215"/>
      <c r="G55" s="215"/>
      <c r="H55" s="215"/>
      <c r="I55" s="215"/>
      <c r="J55" s="215"/>
      <c r="K55" s="215"/>
      <c r="L55" s="215"/>
      <c r="M55" s="215"/>
      <c r="N55" s="215"/>
      <c r="O55" s="205"/>
      <c r="P55" s="203">
        <f>+Technology!C15</f>
        <v>9500</v>
      </c>
      <c r="Q55" s="202">
        <v>0</v>
      </c>
      <c r="R55" s="203">
        <f t="shared" ref="R55" si="26">+P55-Q55</f>
        <v>9500</v>
      </c>
      <c r="S55" s="204" t="str">
        <f t="shared" ref="S55" si="27">IF(Q55=0,"NA",(+P55-Q55)/Q55)</f>
        <v>NA</v>
      </c>
      <c r="U55" s="202">
        <v>0</v>
      </c>
      <c r="V55" s="202">
        <v>0</v>
      </c>
      <c r="W55" s="204" t="str">
        <f t="shared" ref="W55" si="28">IF(V55=0,"NA",(+U55-V55)/V55)</f>
        <v>NA</v>
      </c>
      <c r="X55" s="1079" t="s">
        <v>652</v>
      </c>
    </row>
    <row r="56" spans="1:25" ht="26.5" customHeight="1" x14ac:dyDescent="0.35">
      <c r="A56" s="40">
        <v>73</v>
      </c>
      <c r="C56" s="1105" t="s">
        <v>29</v>
      </c>
      <c r="D56" s="1106"/>
      <c r="E56" s="217"/>
      <c r="F56" s="218"/>
      <c r="G56" s="218"/>
      <c r="H56" s="218"/>
      <c r="I56" s="218"/>
      <c r="J56" s="218"/>
      <c r="K56" s="218"/>
      <c r="L56" s="218"/>
      <c r="M56" s="218"/>
      <c r="N56" s="218"/>
      <c r="O56" s="209"/>
      <c r="P56" s="244">
        <f>10800-Technology!C17+450+800+65</f>
        <v>8658.7999999999993</v>
      </c>
      <c r="Q56" s="220">
        <v>10800</v>
      </c>
      <c r="R56" s="207">
        <f t="shared" si="23"/>
        <v>-2141.2000000000007</v>
      </c>
      <c r="S56" s="208">
        <f t="shared" si="24"/>
        <v>-0.19825925925925933</v>
      </c>
      <c r="U56" s="220">
        <v>14802.29</v>
      </c>
      <c r="V56" s="206">
        <v>10800</v>
      </c>
      <c r="W56" s="208">
        <f t="shared" si="25"/>
        <v>0.3705824074074075</v>
      </c>
      <c r="X56" s="1080" t="s">
        <v>668</v>
      </c>
    </row>
    <row r="57" spans="1:25" ht="13.5" customHeight="1" x14ac:dyDescent="0.35">
      <c r="A57" s="40">
        <v>74</v>
      </c>
      <c r="C57" s="1058" t="s">
        <v>30</v>
      </c>
      <c r="D57" s="1103"/>
      <c r="E57" s="214"/>
      <c r="F57" s="215"/>
      <c r="G57" s="215"/>
      <c r="H57" s="215"/>
      <c r="I57" s="215"/>
      <c r="J57" s="215"/>
      <c r="K57" s="215"/>
      <c r="L57" s="215"/>
      <c r="M57" s="215"/>
      <c r="N57" s="215"/>
      <c r="O57" s="205"/>
      <c r="P57" s="219">
        <f>700</f>
        <v>700</v>
      </c>
      <c r="Q57" s="219">
        <v>700</v>
      </c>
      <c r="R57" s="203">
        <f t="shared" si="23"/>
        <v>0</v>
      </c>
      <c r="S57" s="204">
        <f t="shared" si="24"/>
        <v>0</v>
      </c>
      <c r="U57" s="202">
        <v>181.44</v>
      </c>
      <c r="V57" s="202">
        <v>700</v>
      </c>
      <c r="W57" s="204">
        <f t="shared" si="25"/>
        <v>-0.7407999999999999</v>
      </c>
      <c r="X57" s="1064"/>
    </row>
    <row r="58" spans="1:25" ht="13.5" customHeight="1" thickBot="1" x14ac:dyDescent="0.4">
      <c r="A58" s="40">
        <v>75</v>
      </c>
      <c r="C58" s="1105" t="s">
        <v>31</v>
      </c>
      <c r="D58" s="1106"/>
      <c r="E58" s="1267" t="s">
        <v>119</v>
      </c>
      <c r="F58" s="1268"/>
      <c r="G58" s="1268"/>
      <c r="H58" s="1268"/>
      <c r="I58" s="1268"/>
      <c r="J58" s="1268"/>
      <c r="K58" s="1268"/>
      <c r="L58" s="1268"/>
      <c r="M58" s="1269"/>
      <c r="N58" s="334"/>
      <c r="O58" s="209"/>
      <c r="P58" s="220">
        <v>2000</v>
      </c>
      <c r="Q58" s="220">
        <v>1700</v>
      </c>
      <c r="R58" s="207">
        <f t="shared" si="23"/>
        <v>300</v>
      </c>
      <c r="S58" s="208">
        <f t="shared" si="24"/>
        <v>0.17647058823529413</v>
      </c>
      <c r="U58" s="206">
        <v>2309.64</v>
      </c>
      <c r="V58" s="206">
        <v>1700</v>
      </c>
      <c r="W58" s="208">
        <f t="shared" si="25"/>
        <v>0.3586117647058823</v>
      </c>
      <c r="X58" s="1074" t="s">
        <v>647</v>
      </c>
    </row>
    <row r="59" spans="1:25" ht="13.5" customHeight="1" thickBot="1" x14ac:dyDescent="0.4">
      <c r="C59" s="1105" t="s">
        <v>218</v>
      </c>
      <c r="D59" s="1106"/>
      <c r="E59" s="217"/>
      <c r="F59" s="218"/>
      <c r="G59" s="218"/>
      <c r="H59" s="218"/>
      <c r="I59" s="218"/>
      <c r="J59" s="218"/>
      <c r="K59" s="218"/>
      <c r="L59" s="218"/>
      <c r="M59" s="218"/>
      <c r="N59" s="218"/>
      <c r="O59" s="209"/>
      <c r="P59" s="220">
        <f>1500-500</f>
        <v>1000</v>
      </c>
      <c r="Q59" s="220">
        <f>1500-500</f>
        <v>1000</v>
      </c>
      <c r="R59" s="207">
        <f>+P59-Q59</f>
        <v>0</v>
      </c>
      <c r="S59" s="208">
        <f>IF(Q59=0,"NA",(+P59-Q59)/Q59)</f>
        <v>0</v>
      </c>
      <c r="U59" s="206">
        <v>0</v>
      </c>
      <c r="V59" s="206">
        <v>1000</v>
      </c>
      <c r="W59" s="208">
        <f>IF(V59=0,"NA",(+U59-V59)/V59)</f>
        <v>-1</v>
      </c>
      <c r="X59" s="1074" t="s">
        <v>667</v>
      </c>
    </row>
    <row r="60" spans="1:25" s="2" customFormat="1" ht="13.5" customHeight="1" x14ac:dyDescent="0.35">
      <c r="A60" s="40">
        <v>76</v>
      </c>
      <c r="B60" s="1115" t="s">
        <v>33</v>
      </c>
      <c r="C60" s="1115"/>
      <c r="D60" s="1115"/>
      <c r="E60" s="1265">
        <f>Bud_Yr</f>
        <v>2024</v>
      </c>
      <c r="F60" s="1266"/>
      <c r="G60" s="1266"/>
      <c r="H60" s="1266"/>
      <c r="I60" s="1266">
        <f>Bud_Yr-1</f>
        <v>2023</v>
      </c>
      <c r="J60" s="1266"/>
      <c r="K60" s="1266"/>
      <c r="L60" s="1266"/>
      <c r="M60" s="66">
        <f>Bud_Yr-2</f>
        <v>2022</v>
      </c>
      <c r="N60" s="335"/>
      <c r="O60" s="34"/>
      <c r="P60" s="18">
        <f>SUM(P53:P59)</f>
        <v>25858.799999999999</v>
      </c>
      <c r="Q60" s="34">
        <f>SUM(Q53:Q59)</f>
        <v>18200</v>
      </c>
      <c r="R60" s="34">
        <f>SUM(R53:R59)</f>
        <v>7658.7999999999993</v>
      </c>
      <c r="S60" s="19">
        <f t="shared" si="24"/>
        <v>0.42081318681318675</v>
      </c>
      <c r="T60" s="562"/>
      <c r="U60" s="34">
        <f>SUM(U53:U59)</f>
        <v>20139.12</v>
      </c>
      <c r="V60" s="34">
        <f>SUM(V53:V59)</f>
        <v>18200</v>
      </c>
      <c r="W60" s="19">
        <f t="shared" si="25"/>
        <v>0.1065450549450549</v>
      </c>
      <c r="X60" s="1075"/>
      <c r="Y60" s="1"/>
    </row>
    <row r="61" spans="1:25" ht="17" customHeight="1" thickBot="1" x14ac:dyDescent="0.4">
      <c r="A61" s="40">
        <v>77</v>
      </c>
      <c r="B61" s="1115" t="s">
        <v>82</v>
      </c>
      <c r="C61" s="1118"/>
      <c r="D61" s="1118"/>
      <c r="E61" s="67" t="s">
        <v>117</v>
      </c>
      <c r="F61" s="68" t="s">
        <v>118</v>
      </c>
      <c r="G61" s="68" t="s">
        <v>121</v>
      </c>
      <c r="H61" s="68" t="s">
        <v>116</v>
      </c>
      <c r="I61" s="68" t="s">
        <v>117</v>
      </c>
      <c r="J61" s="68" t="s">
        <v>118</v>
      </c>
      <c r="K61" s="68" t="s">
        <v>121</v>
      </c>
      <c r="L61" s="68" t="s">
        <v>116</v>
      </c>
      <c r="M61" s="69" t="s">
        <v>118</v>
      </c>
      <c r="N61" s="336"/>
      <c r="O61" s="21"/>
      <c r="P61" s="18">
        <f>+P35+P39+P40+P42+P51+P60+P41</f>
        <v>40292.800000000003</v>
      </c>
      <c r="Q61" s="34">
        <f>+Q35+Q39+Q40+Q42+Q51+Q60+Q41</f>
        <v>31334</v>
      </c>
      <c r="R61" s="34">
        <f>+R35+R39+R40+R42+R51+R60+R41</f>
        <v>8958.7999999999993</v>
      </c>
      <c r="S61" s="19">
        <f t="shared" si="24"/>
        <v>0.28591306567945374</v>
      </c>
      <c r="U61" s="34">
        <f>+U35+U39+U40+U42+U51+U60+U41</f>
        <v>26656.12</v>
      </c>
      <c r="V61" s="34">
        <f>+V35+V39+V40+V42+V51+V60+V41</f>
        <v>31334</v>
      </c>
      <c r="W61" s="19">
        <f t="shared" si="25"/>
        <v>-0.14929086615178402</v>
      </c>
      <c r="X61" s="1075"/>
    </row>
    <row r="62" spans="1:25" ht="17" customHeight="1" x14ac:dyDescent="0.35">
      <c r="A62" s="40">
        <v>79</v>
      </c>
      <c r="B62" s="1109" t="s">
        <v>32</v>
      </c>
      <c r="F62" s="61">
        <v>0.03</v>
      </c>
      <c r="G62" s="1270" t="s">
        <v>94</v>
      </c>
      <c r="H62" s="1270"/>
      <c r="K62" s="53" t="s">
        <v>130</v>
      </c>
      <c r="L62" s="61">
        <v>0.01</v>
      </c>
      <c r="O62" s="1251" t="s">
        <v>90</v>
      </c>
      <c r="S62" s="4"/>
    </row>
    <row r="63" spans="1:25" ht="13.5" customHeight="1" outlineLevel="1" x14ac:dyDescent="0.35">
      <c r="A63" s="40">
        <v>80</v>
      </c>
      <c r="B63" s="1119" t="s">
        <v>111</v>
      </c>
      <c r="D63" s="1120" t="s">
        <v>604</v>
      </c>
      <c r="F63" s="61">
        <v>0.03</v>
      </c>
      <c r="G63" s="1270" t="s">
        <v>95</v>
      </c>
      <c r="H63" s="1270"/>
      <c r="K63" s="53"/>
      <c r="O63" s="1251"/>
      <c r="R63" s="94"/>
      <c r="S63" s="4"/>
      <c r="U63" s="95"/>
      <c r="V63" s="33"/>
    </row>
    <row r="64" spans="1:25" ht="13.5" customHeight="1" outlineLevel="1" x14ac:dyDescent="0.35">
      <c r="C64" s="1101" t="s">
        <v>131</v>
      </c>
      <c r="D64" s="1102"/>
      <c r="E64" s="339"/>
      <c r="F64" s="760"/>
      <c r="G64" s="761"/>
      <c r="H64" s="98"/>
      <c r="I64" s="99"/>
      <c r="J64" s="339"/>
      <c r="K64" s="99"/>
      <c r="L64" s="762"/>
      <c r="M64" s="102"/>
      <c r="N64" s="102"/>
      <c r="O64" s="338"/>
      <c r="P64" s="718">
        <f>+John!D8</f>
        <v>73310</v>
      </c>
      <c r="Q64" s="344">
        <v>0</v>
      </c>
      <c r="R64" s="342">
        <f>+P64-Q64</f>
        <v>73310</v>
      </c>
      <c r="S64" s="343" t="str">
        <f>IF(Q64=0,"NA",(+P64-Q64)/Q64)</f>
        <v>NA</v>
      </c>
      <c r="U64" s="341">
        <f>14486.92+7234.92</f>
        <v>21721.84</v>
      </c>
      <c r="V64" s="341">
        <v>0</v>
      </c>
      <c r="W64" s="343" t="str">
        <f>IF(V64=0,"NA",(+U64-V64)/V64)</f>
        <v>NA</v>
      </c>
      <c r="X64" s="1063"/>
    </row>
    <row r="65" spans="1:25" ht="13.5" customHeight="1" outlineLevel="1" x14ac:dyDescent="0.35">
      <c r="A65" s="40">
        <v>82</v>
      </c>
      <c r="C65" s="1058" t="s">
        <v>34</v>
      </c>
      <c r="D65" s="1103"/>
      <c r="E65" s="214"/>
      <c r="F65" s="228"/>
      <c r="G65" s="229"/>
      <c r="H65" s="230"/>
      <c r="I65" s="231"/>
      <c r="J65" s="214"/>
      <c r="K65" s="232"/>
      <c r="L65" s="214"/>
      <c r="M65" s="233"/>
      <c r="N65" s="233"/>
      <c r="O65" s="234"/>
      <c r="P65" s="235">
        <f>+John!D26</f>
        <v>1500</v>
      </c>
      <c r="Q65" s="219">
        <v>0</v>
      </c>
      <c r="R65" s="203">
        <f t="shared" ref="R65:R71" si="29">+P65-Q65</f>
        <v>1500</v>
      </c>
      <c r="S65" s="204" t="str">
        <f t="shared" ref="S65:S72" si="30">IF(Q65=0,"NA",(+P65-Q65)/Q65)</f>
        <v>NA</v>
      </c>
      <c r="U65" s="202">
        <v>0</v>
      </c>
      <c r="V65" s="202">
        <v>0</v>
      </c>
      <c r="W65" s="204" t="str">
        <f t="shared" ref="W65:W72" si="31">IF(V65=0,"NA",(+U65-V65)/V65)</f>
        <v>NA</v>
      </c>
      <c r="X65" s="1064"/>
    </row>
    <row r="66" spans="1:25" ht="13.5" customHeight="1" outlineLevel="1" x14ac:dyDescent="0.35">
      <c r="C66" s="1058" t="s">
        <v>602</v>
      </c>
      <c r="D66" s="1103"/>
      <c r="E66" s="214"/>
      <c r="F66" s="228"/>
      <c r="G66" s="229"/>
      <c r="H66" s="214"/>
      <c r="I66" s="214"/>
      <c r="J66" s="230"/>
      <c r="K66" s="214"/>
      <c r="L66" s="214"/>
      <c r="M66" s="214"/>
      <c r="N66" s="214"/>
      <c r="O66" s="234"/>
      <c r="P66" s="235">
        <f>+John!D12</f>
        <v>5836</v>
      </c>
      <c r="Q66" s="219">
        <v>0</v>
      </c>
      <c r="R66" s="203">
        <f t="shared" si="29"/>
        <v>5836</v>
      </c>
      <c r="S66" s="204" t="str">
        <f t="shared" si="30"/>
        <v>NA</v>
      </c>
      <c r="U66" s="202">
        <v>1732.64</v>
      </c>
      <c r="V66" s="202">
        <v>0</v>
      </c>
      <c r="W66" s="204" t="str">
        <f t="shared" si="31"/>
        <v>NA</v>
      </c>
      <c r="X66" s="1064"/>
    </row>
    <row r="67" spans="1:25" ht="13.5" customHeight="1" outlineLevel="1" x14ac:dyDescent="0.35">
      <c r="C67" s="1058" t="s">
        <v>127</v>
      </c>
      <c r="D67" s="1103"/>
      <c r="E67" s="214"/>
      <c r="F67" s="236"/>
      <c r="G67" s="214"/>
      <c r="H67" s="237"/>
      <c r="I67" s="214"/>
      <c r="J67" s="214"/>
      <c r="K67" s="214"/>
      <c r="L67" s="214"/>
      <c r="M67" s="214"/>
      <c r="N67" s="214"/>
      <c r="O67" s="238"/>
      <c r="P67" s="235">
        <f>+John!D16</f>
        <v>8212</v>
      </c>
      <c r="Q67" s="219">
        <v>0</v>
      </c>
      <c r="R67" s="203">
        <f>+P67-Q67</f>
        <v>8212</v>
      </c>
      <c r="S67" s="204" t="str">
        <f t="shared" si="30"/>
        <v>NA</v>
      </c>
      <c r="U67" s="202">
        <v>2438.0500000000002</v>
      </c>
      <c r="V67" s="219">
        <v>0</v>
      </c>
      <c r="W67" s="204" t="str">
        <f t="shared" si="31"/>
        <v>NA</v>
      </c>
      <c r="X67" s="1064"/>
      <c r="Y67" s="2"/>
    </row>
    <row r="68" spans="1:25" ht="13.5" customHeight="1" outlineLevel="1" x14ac:dyDescent="0.35">
      <c r="A68" s="40">
        <v>83</v>
      </c>
      <c r="C68" s="1058" t="s">
        <v>128</v>
      </c>
      <c r="D68" s="1103"/>
      <c r="E68" s="233"/>
      <c r="F68" s="239"/>
      <c r="G68" s="233"/>
      <c r="H68" s="239"/>
      <c r="I68" s="233"/>
      <c r="J68" s="239"/>
      <c r="K68" s="241"/>
      <c r="L68" s="214"/>
      <c r="M68" s="214"/>
      <c r="N68" s="214"/>
      <c r="O68" s="238"/>
      <c r="P68" s="235">
        <f>+John!D23</f>
        <v>1399</v>
      </c>
      <c r="Q68" s="219">
        <v>0</v>
      </c>
      <c r="R68" s="203">
        <f t="shared" si="29"/>
        <v>1399</v>
      </c>
      <c r="S68" s="204" t="str">
        <f t="shared" si="30"/>
        <v>NA</v>
      </c>
      <c r="U68" s="202">
        <v>414.44</v>
      </c>
      <c r="V68" s="219">
        <v>0</v>
      </c>
      <c r="W68" s="204" t="str">
        <f t="shared" si="31"/>
        <v>NA</v>
      </c>
      <c r="X68" s="1064"/>
    </row>
    <row r="69" spans="1:25" ht="13.5" customHeight="1" outlineLevel="1" x14ac:dyDescent="0.35">
      <c r="C69" s="1058" t="s">
        <v>99</v>
      </c>
      <c r="D69" s="1103"/>
      <c r="E69" s="214"/>
      <c r="F69" s="214"/>
      <c r="G69" s="214"/>
      <c r="H69" s="214"/>
      <c r="I69" s="214"/>
      <c r="J69" s="214"/>
      <c r="K69" s="214"/>
      <c r="L69" s="214"/>
      <c r="M69" s="214"/>
      <c r="N69" s="214"/>
      <c r="O69" s="238"/>
      <c r="P69" s="235">
        <f>+John!D28</f>
        <v>600</v>
      </c>
      <c r="Q69" s="219">
        <v>0</v>
      </c>
      <c r="R69" s="203">
        <f t="shared" si="29"/>
        <v>600</v>
      </c>
      <c r="S69" s="204" t="str">
        <f t="shared" si="30"/>
        <v>NA</v>
      </c>
      <c r="U69" s="202">
        <v>0</v>
      </c>
      <c r="V69" s="202">
        <v>0</v>
      </c>
      <c r="W69" s="204" t="str">
        <f t="shared" si="31"/>
        <v>NA</v>
      </c>
      <c r="X69" s="1064"/>
    </row>
    <row r="70" spans="1:25" ht="13.5" customHeight="1" outlineLevel="1" x14ac:dyDescent="0.35">
      <c r="C70" s="1058" t="s">
        <v>603</v>
      </c>
      <c r="D70" s="1103"/>
      <c r="E70" s="214"/>
      <c r="F70" s="215"/>
      <c r="G70" s="215"/>
      <c r="H70" s="215"/>
      <c r="I70" s="215"/>
      <c r="J70" s="215"/>
      <c r="K70" s="215"/>
      <c r="L70" s="215"/>
      <c r="M70" s="215"/>
      <c r="N70" s="215"/>
      <c r="O70" s="242"/>
      <c r="P70" s="235">
        <f>+John!D9</f>
        <v>2977</v>
      </c>
      <c r="Q70" s="219">
        <v>0</v>
      </c>
      <c r="R70" s="203">
        <f>+P70-Q70</f>
        <v>2977</v>
      </c>
      <c r="S70" s="204" t="str">
        <f t="shared" si="30"/>
        <v>NA</v>
      </c>
      <c r="U70" s="202">
        <v>926.24</v>
      </c>
      <c r="V70" s="202">
        <v>0</v>
      </c>
      <c r="W70" s="204" t="str">
        <f t="shared" si="31"/>
        <v>NA</v>
      </c>
      <c r="X70" s="1081"/>
    </row>
    <row r="71" spans="1:25" ht="13.5" customHeight="1" outlineLevel="1" x14ac:dyDescent="0.35">
      <c r="A71" s="40">
        <v>85</v>
      </c>
      <c r="C71" s="1105" t="s">
        <v>35</v>
      </c>
      <c r="D71" s="1106"/>
      <c r="E71" s="217"/>
      <c r="F71" s="218"/>
      <c r="G71" s="218"/>
      <c r="H71" s="218"/>
      <c r="I71" s="218"/>
      <c r="J71" s="218"/>
      <c r="K71" s="218"/>
      <c r="L71" s="218"/>
      <c r="M71" s="218"/>
      <c r="N71" s="218"/>
      <c r="O71" s="243"/>
      <c r="P71" s="244">
        <f>+John!D27</f>
        <v>1300</v>
      </c>
      <c r="Q71" s="220">
        <v>0</v>
      </c>
      <c r="R71" s="207">
        <f t="shared" si="29"/>
        <v>1300</v>
      </c>
      <c r="S71" s="208" t="str">
        <f t="shared" si="30"/>
        <v>NA</v>
      </c>
      <c r="U71" s="206">
        <v>0</v>
      </c>
      <c r="V71" s="206">
        <v>0</v>
      </c>
      <c r="W71" s="208" t="str">
        <f t="shared" si="31"/>
        <v>NA</v>
      </c>
      <c r="X71" s="1074"/>
    </row>
    <row r="72" spans="1:25" s="2" customFormat="1" ht="13.5" customHeight="1" outlineLevel="1" x14ac:dyDescent="0.35">
      <c r="A72" s="40">
        <v>86</v>
      </c>
      <c r="B72" s="1121" t="s">
        <v>112</v>
      </c>
      <c r="C72" s="1121"/>
      <c r="D72" s="1121"/>
      <c r="E72" s="62"/>
      <c r="F72" s="62"/>
      <c r="G72" s="62"/>
      <c r="H72" s="62"/>
      <c r="I72" s="62"/>
      <c r="J72" s="62"/>
      <c r="K72" s="62"/>
      <c r="L72" s="62"/>
      <c r="M72" s="62"/>
      <c r="N72" s="62"/>
      <c r="O72" s="22"/>
      <c r="P72" s="22">
        <f>SUM(P64:P71)</f>
        <v>95134</v>
      </c>
      <c r="Q72" s="22">
        <f>SUM(Q64:Q71)</f>
        <v>0</v>
      </c>
      <c r="R72" s="22">
        <f>SUM(R64:R71)</f>
        <v>95134</v>
      </c>
      <c r="S72" s="23" t="str">
        <f t="shared" si="30"/>
        <v>NA</v>
      </c>
      <c r="T72" s="562"/>
      <c r="U72" s="22">
        <f>SUM(U64:U71)</f>
        <v>27233.21</v>
      </c>
      <c r="V72" s="22">
        <f>SUM(V64:V71)</f>
        <v>0</v>
      </c>
      <c r="W72" s="23" t="str">
        <f t="shared" si="31"/>
        <v>NA</v>
      </c>
      <c r="X72" s="1082"/>
      <c r="Y72" s="1"/>
    </row>
    <row r="73" spans="1:25" ht="13.5" customHeight="1" outlineLevel="1" x14ac:dyDescent="0.35">
      <c r="A73" s="40">
        <v>80</v>
      </c>
      <c r="B73" s="1099" t="s">
        <v>231</v>
      </c>
      <c r="D73" s="1100"/>
      <c r="F73" s="370"/>
      <c r="G73" s="1249"/>
      <c r="H73" s="1249"/>
      <c r="R73" s="94"/>
      <c r="S73" s="36"/>
      <c r="U73" s="95"/>
      <c r="V73" s="33"/>
      <c r="W73" s="36"/>
    </row>
    <row r="74" spans="1:25" ht="13.5" customHeight="1" outlineLevel="1" x14ac:dyDescent="0.35">
      <c r="A74" s="40">
        <v>81</v>
      </c>
      <c r="C74" s="1110" t="s">
        <v>131</v>
      </c>
      <c r="D74" s="1111"/>
      <c r="E74" s="211"/>
      <c r="F74" s="222"/>
      <c r="G74" s="300"/>
      <c r="H74" s="223"/>
      <c r="I74" s="224"/>
      <c r="J74" s="211"/>
      <c r="K74" s="224"/>
      <c r="L74" s="225"/>
      <c r="M74" s="226"/>
      <c r="N74" s="226"/>
      <c r="O74" s="210"/>
      <c r="P74" s="221">
        <v>0</v>
      </c>
      <c r="Q74" s="227">
        <f>+'Pastor Kelly'!L16</f>
        <v>64553</v>
      </c>
      <c r="R74" s="199">
        <f t="shared" ref="R74:R82" si="32">+P74-Q74</f>
        <v>-64553</v>
      </c>
      <c r="S74" s="200">
        <f t="shared" ref="S74:S83" si="33">IF(Q74=0,"NA",(+P74-Q74)/Q74)</f>
        <v>-1</v>
      </c>
      <c r="U74" s="198">
        <f>14614.2+5733.36</f>
        <v>20347.560000000001</v>
      </c>
      <c r="V74" s="198">
        <f>44553+20000</f>
        <v>64553</v>
      </c>
      <c r="W74" s="200">
        <f t="shared" ref="W74:W83" si="34">IF(V74=0,"NA",(+U74-V74)/V74)</f>
        <v>-0.68479296082288976</v>
      </c>
      <c r="X74" s="1070" t="s">
        <v>607</v>
      </c>
    </row>
    <row r="75" spans="1:25" ht="13.5" customHeight="1" outlineLevel="1" x14ac:dyDescent="0.35">
      <c r="A75" s="40">
        <v>82</v>
      </c>
      <c r="C75" s="1058" t="s">
        <v>34</v>
      </c>
      <c r="D75" s="1103"/>
      <c r="E75" s="214"/>
      <c r="F75" s="228"/>
      <c r="G75" s="229"/>
      <c r="H75" s="230"/>
      <c r="I75" s="231"/>
      <c r="J75" s="214"/>
      <c r="K75" s="232"/>
      <c r="L75" s="214"/>
      <c r="M75" s="233"/>
      <c r="N75" s="233"/>
      <c r="O75" s="234"/>
      <c r="P75" s="221">
        <v>0</v>
      </c>
      <c r="Q75" s="235">
        <f>+'Pastor Kelly'!L47</f>
        <v>1200</v>
      </c>
      <c r="R75" s="203">
        <f t="shared" si="32"/>
        <v>-1200</v>
      </c>
      <c r="S75" s="204">
        <f t="shared" si="33"/>
        <v>-1</v>
      </c>
      <c r="U75" s="202">
        <v>160.47999999999999</v>
      </c>
      <c r="V75" s="202">
        <v>1200</v>
      </c>
      <c r="W75" s="204">
        <f t="shared" si="34"/>
        <v>-0.86626666666666663</v>
      </c>
      <c r="X75" s="1064"/>
    </row>
    <row r="76" spans="1:25" ht="13.5" customHeight="1" outlineLevel="1" x14ac:dyDescent="0.35">
      <c r="C76" s="1058" t="s">
        <v>234</v>
      </c>
      <c r="D76" s="1103"/>
      <c r="E76" s="214"/>
      <c r="F76" s="228"/>
      <c r="G76" s="229"/>
      <c r="H76" s="214"/>
      <c r="I76" s="214"/>
      <c r="J76" s="230"/>
      <c r="K76" s="214"/>
      <c r="L76" s="214"/>
      <c r="M76" s="214"/>
      <c r="N76" s="214"/>
      <c r="O76" s="234"/>
      <c r="P76" s="221">
        <v>0</v>
      </c>
      <c r="Q76" s="235">
        <f>+'Pastor Kelly'!L19</f>
        <v>4938</v>
      </c>
      <c r="R76" s="203">
        <f t="shared" si="32"/>
        <v>-4938</v>
      </c>
      <c r="S76" s="204">
        <f t="shared" si="33"/>
        <v>-1</v>
      </c>
      <c r="U76" s="202">
        <v>1428.02</v>
      </c>
      <c r="V76" s="202">
        <v>4938</v>
      </c>
      <c r="W76" s="204">
        <f t="shared" si="34"/>
        <v>-0.71081004455245034</v>
      </c>
      <c r="X76" s="1064"/>
    </row>
    <row r="77" spans="1:25" ht="13.5" customHeight="1" outlineLevel="1" x14ac:dyDescent="0.35">
      <c r="C77" s="1058" t="s">
        <v>127</v>
      </c>
      <c r="D77" s="1103"/>
      <c r="E77" s="214"/>
      <c r="F77" s="236"/>
      <c r="G77" s="214"/>
      <c r="H77" s="237"/>
      <c r="I77" s="214"/>
      <c r="J77" s="214"/>
      <c r="K77" s="214"/>
      <c r="L77" s="214"/>
      <c r="M77" s="214"/>
      <c r="N77" s="214"/>
      <c r="O77" s="238"/>
      <c r="P77" s="221">
        <v>0</v>
      </c>
      <c r="Q77" s="235">
        <f>+'Pastor Kelly'!L38</f>
        <v>6949</v>
      </c>
      <c r="R77" s="203">
        <f t="shared" si="32"/>
        <v>-6949</v>
      </c>
      <c r="S77" s="204">
        <f t="shared" si="33"/>
        <v>-1</v>
      </c>
      <c r="U77" s="202">
        <v>2629.29</v>
      </c>
      <c r="V77" s="219">
        <v>6949</v>
      </c>
      <c r="W77" s="204">
        <f t="shared" si="34"/>
        <v>-0.62163045042452147</v>
      </c>
      <c r="X77" s="1064"/>
    </row>
    <row r="78" spans="1:25" ht="13.5" customHeight="1" outlineLevel="1" x14ac:dyDescent="0.35">
      <c r="C78" s="1058" t="s">
        <v>235</v>
      </c>
      <c r="D78" s="1103"/>
      <c r="E78" s="214"/>
      <c r="F78" s="214"/>
      <c r="G78" s="214"/>
      <c r="H78" s="239"/>
      <c r="I78" s="214"/>
      <c r="J78" s="214"/>
      <c r="K78" s="214"/>
      <c r="L78" s="214"/>
      <c r="M78" s="214"/>
      <c r="N78" s="214"/>
      <c r="O78" s="240"/>
      <c r="P78" s="221">
        <v>0</v>
      </c>
      <c r="Q78" s="235">
        <f>+'Pastor Kelly'!L25</f>
        <v>20040</v>
      </c>
      <c r="R78" s="203">
        <f t="shared" si="32"/>
        <v>-20040</v>
      </c>
      <c r="S78" s="204">
        <f t="shared" si="33"/>
        <v>-1</v>
      </c>
      <c r="U78" s="202">
        <v>3305.03</v>
      </c>
      <c r="V78" s="219">
        <v>20040</v>
      </c>
      <c r="W78" s="204">
        <f t="shared" si="34"/>
        <v>-0.83507834331337327</v>
      </c>
      <c r="X78" s="1064"/>
      <c r="Y78" s="2"/>
    </row>
    <row r="79" spans="1:25" ht="13.5" customHeight="1" outlineLevel="1" x14ac:dyDescent="0.35">
      <c r="A79" s="40">
        <v>83</v>
      </c>
      <c r="C79" s="1058" t="s">
        <v>128</v>
      </c>
      <c r="D79" s="1103"/>
      <c r="E79" s="233"/>
      <c r="F79" s="239"/>
      <c r="G79" s="233"/>
      <c r="H79" s="239"/>
      <c r="I79" s="233"/>
      <c r="J79" s="239"/>
      <c r="K79" s="241"/>
      <c r="L79" s="214"/>
      <c r="M79" s="214"/>
      <c r="N79" s="214"/>
      <c r="O79" s="238"/>
      <c r="P79" s="221">
        <v>0</v>
      </c>
      <c r="Q79" s="235">
        <f>+'Pastor Kelly'!L45</f>
        <v>1529</v>
      </c>
      <c r="R79" s="203">
        <f t="shared" si="32"/>
        <v>-1529</v>
      </c>
      <c r="S79" s="204">
        <f t="shared" si="33"/>
        <v>-1</v>
      </c>
      <c r="U79" s="202">
        <v>389.39</v>
      </c>
      <c r="V79" s="219">
        <v>1529</v>
      </c>
      <c r="W79" s="204">
        <f t="shared" si="34"/>
        <v>-0.74533028122956191</v>
      </c>
      <c r="X79" s="1064"/>
    </row>
    <row r="80" spans="1:25" ht="13.5" customHeight="1" outlineLevel="1" x14ac:dyDescent="0.35">
      <c r="C80" s="1058" t="s">
        <v>99</v>
      </c>
      <c r="D80" s="1103"/>
      <c r="E80" s="214"/>
      <c r="F80" s="214"/>
      <c r="G80" s="214"/>
      <c r="H80" s="214"/>
      <c r="I80" s="214"/>
      <c r="J80" s="214"/>
      <c r="K80" s="214"/>
      <c r="L80" s="214"/>
      <c r="M80" s="214"/>
      <c r="N80" s="214"/>
      <c r="O80" s="238"/>
      <c r="P80" s="221">
        <v>0</v>
      </c>
      <c r="Q80" s="235">
        <f>+'Pastor Kelly'!L51</f>
        <v>600</v>
      </c>
      <c r="R80" s="203">
        <f t="shared" si="32"/>
        <v>-600</v>
      </c>
      <c r="S80" s="204">
        <f t="shared" si="33"/>
        <v>-1</v>
      </c>
      <c r="U80" s="202">
        <v>0</v>
      </c>
      <c r="V80" s="202">
        <v>600</v>
      </c>
      <c r="W80" s="204">
        <f t="shared" si="34"/>
        <v>-1</v>
      </c>
      <c r="X80" s="1064"/>
    </row>
    <row r="81" spans="1:25" ht="13.5" customHeight="1" outlineLevel="1" x14ac:dyDescent="0.35">
      <c r="C81" s="1058" t="s">
        <v>163</v>
      </c>
      <c r="D81" s="1103"/>
      <c r="E81" s="214"/>
      <c r="F81" s="215"/>
      <c r="G81" s="215"/>
      <c r="H81" s="215"/>
      <c r="I81" s="215"/>
      <c r="J81" s="215"/>
      <c r="K81" s="215"/>
      <c r="L81" s="215"/>
      <c r="M81" s="215"/>
      <c r="N81" s="215"/>
      <c r="O81" s="242"/>
      <c r="P81" s="221">
        <v>0</v>
      </c>
      <c r="Q81" s="235">
        <f>+'Pastor Kelly'!L52</f>
        <v>480</v>
      </c>
      <c r="R81" s="203">
        <f t="shared" si="32"/>
        <v>-480</v>
      </c>
      <c r="S81" s="204">
        <f t="shared" si="33"/>
        <v>-1</v>
      </c>
      <c r="U81" s="202">
        <v>0</v>
      </c>
      <c r="V81" s="202">
        <v>480</v>
      </c>
      <c r="W81" s="204">
        <f t="shared" si="34"/>
        <v>-1</v>
      </c>
      <c r="X81" s="1064"/>
    </row>
    <row r="82" spans="1:25" ht="13.5" customHeight="1" outlineLevel="1" x14ac:dyDescent="0.35">
      <c r="A82" s="40">
        <v>85</v>
      </c>
      <c r="C82" s="1058" t="s">
        <v>35</v>
      </c>
      <c r="D82" s="1103"/>
      <c r="E82" s="214"/>
      <c r="F82" s="215"/>
      <c r="G82" s="215"/>
      <c r="H82" s="215"/>
      <c r="I82" s="215"/>
      <c r="J82" s="215"/>
      <c r="K82" s="215"/>
      <c r="L82" s="215"/>
      <c r="M82" s="215"/>
      <c r="N82" s="215"/>
      <c r="O82" s="245"/>
      <c r="P82" s="221">
        <v>0</v>
      </c>
      <c r="Q82" s="235">
        <f>+'Pastor Kelly'!L48</f>
        <v>1300</v>
      </c>
      <c r="R82" s="203">
        <f t="shared" si="32"/>
        <v>-1300</v>
      </c>
      <c r="S82" s="204">
        <f t="shared" si="33"/>
        <v>-1</v>
      </c>
      <c r="U82" s="202">
        <v>0</v>
      </c>
      <c r="V82" s="202">
        <v>1300</v>
      </c>
      <c r="W82" s="204">
        <f t="shared" si="34"/>
        <v>-1</v>
      </c>
      <c r="X82" s="1064"/>
    </row>
    <row r="83" spans="1:25" s="2" customFormat="1" ht="13.5" customHeight="1" outlineLevel="1" x14ac:dyDescent="0.35">
      <c r="A83" s="40">
        <v>86</v>
      </c>
      <c r="B83" s="1121" t="s">
        <v>232</v>
      </c>
      <c r="C83" s="1121"/>
      <c r="D83" s="1121"/>
      <c r="E83" s="62"/>
      <c r="F83" s="62"/>
      <c r="G83" s="62"/>
      <c r="H83" s="62"/>
      <c r="I83" s="62"/>
      <c r="J83" s="62"/>
      <c r="K83" s="62"/>
      <c r="L83" s="62"/>
      <c r="M83" s="62"/>
      <c r="N83" s="62"/>
      <c r="O83" s="22"/>
      <c r="P83" s="22">
        <f>SUM(P74:P82)</f>
        <v>0</v>
      </c>
      <c r="Q83" s="22">
        <f>SUM(Q74:Q82)</f>
        <v>101589</v>
      </c>
      <c r="R83" s="22">
        <f>SUM(R74:R82)</f>
        <v>-101589</v>
      </c>
      <c r="S83" s="23">
        <f t="shared" si="33"/>
        <v>-1</v>
      </c>
      <c r="T83" s="562"/>
      <c r="U83" s="22">
        <f>SUM(U74:U82)</f>
        <v>28259.77</v>
      </c>
      <c r="V83" s="22">
        <f>SUM(V74:V82)</f>
        <v>101589</v>
      </c>
      <c r="W83" s="23">
        <f t="shared" si="34"/>
        <v>-0.72182253984191203</v>
      </c>
      <c r="X83" s="1082"/>
      <c r="Y83" s="1"/>
    </row>
    <row r="84" spans="1:25" s="13" customFormat="1" ht="13.5" customHeight="1" outlineLevel="1" x14ac:dyDescent="0.35">
      <c r="A84" s="1051">
        <v>96</v>
      </c>
      <c r="B84" s="1098" t="s">
        <v>383</v>
      </c>
      <c r="C84" s="1098"/>
      <c r="D84" s="1098"/>
      <c r="E84" s="714">
        <v>22.89</v>
      </c>
      <c r="F84" s="1041">
        <f>ROUNDUP(+J84*(1+F$62),1)</f>
        <v>21.700000000000003</v>
      </c>
      <c r="G84" s="714">
        <v>52</v>
      </c>
      <c r="H84" s="908">
        <f>+IF(J84=0,"NA",ROUND((F84-J84)/J84,3))</f>
        <v>3.3000000000000002E-2</v>
      </c>
      <c r="I84" s="714">
        <v>22.89</v>
      </c>
      <c r="J84" s="715">
        <v>21</v>
      </c>
      <c r="K84" s="714">
        <v>52</v>
      </c>
      <c r="L84" s="763">
        <v>1</v>
      </c>
      <c r="M84" s="716">
        <v>0</v>
      </c>
      <c r="N84" s="55"/>
      <c r="P84" s="1040">
        <f>+F84*G84*E84</f>
        <v>25829.076000000001</v>
      </c>
      <c r="Q84" s="344">
        <v>25000</v>
      </c>
      <c r="R84" s="342">
        <f>+P84-Q84</f>
        <v>829.07600000000093</v>
      </c>
      <c r="S84" s="343">
        <f>IF(Q84=0,"NA",(+P84-Q84)/Q84)</f>
        <v>3.3163040000000039E-2</v>
      </c>
      <c r="T84" s="1141"/>
      <c r="U84" s="344">
        <v>12668.25</v>
      </c>
      <c r="V84" s="341">
        <v>25000</v>
      </c>
      <c r="W84" s="16">
        <f>IF(V84=0,"NA",(+U84-V84)/V84)</f>
        <v>-0.49326999999999999</v>
      </c>
      <c r="X84" s="1072"/>
      <c r="Y84" s="46"/>
    </row>
    <row r="85" spans="1:25" ht="13.5" customHeight="1" outlineLevel="1" x14ac:dyDescent="0.35">
      <c r="A85" s="40">
        <v>107</v>
      </c>
      <c r="B85" s="1099" t="s">
        <v>40</v>
      </c>
      <c r="F85" s="1038"/>
      <c r="G85" s="1039"/>
      <c r="Q85" s="24"/>
      <c r="S85" s="4"/>
    </row>
    <row r="86" spans="1:25" ht="13.5" customHeight="1" outlineLevel="1" x14ac:dyDescent="0.35">
      <c r="A86" s="40">
        <v>108</v>
      </c>
      <c r="C86" s="1101" t="s">
        <v>101</v>
      </c>
      <c r="D86" s="1102"/>
      <c r="E86" s="339"/>
      <c r="F86" s="340"/>
      <c r="G86" s="340"/>
      <c r="H86" s="340"/>
      <c r="I86" s="340"/>
      <c r="J86" s="340"/>
      <c r="K86" s="340"/>
      <c r="L86" s="340"/>
      <c r="M86" s="340"/>
      <c r="N86" s="340"/>
      <c r="O86" s="717"/>
      <c r="P86" s="718">
        <f>ROUND((+Q86)*(1+$F$63),0)</f>
        <v>17818</v>
      </c>
      <c r="Q86" s="341">
        <v>17299</v>
      </c>
      <c r="R86" s="342">
        <f t="shared" ref="R86:R89" si="35">+P86-Q86</f>
        <v>519</v>
      </c>
      <c r="S86" s="343">
        <f t="shared" ref="S86:S91" si="36">IF(Q86=0,"NA",(+P86-Q86)/Q86)</f>
        <v>3.0001734204289265E-2</v>
      </c>
      <c r="U86" s="341">
        <v>17299</v>
      </c>
      <c r="V86" s="341">
        <v>17299</v>
      </c>
      <c r="W86" s="343">
        <f t="shared" ref="W86:W91" si="37">IF(V86=0,"NA",(+U86-V86)/V86)</f>
        <v>0</v>
      </c>
      <c r="X86" s="1063"/>
      <c r="Y86" s="2"/>
    </row>
    <row r="87" spans="1:25" ht="13.5" customHeight="1" outlineLevel="1" x14ac:dyDescent="0.35">
      <c r="C87" s="1105" t="s">
        <v>172</v>
      </c>
      <c r="D87" s="1106"/>
      <c r="E87" s="217"/>
      <c r="F87" s="218"/>
      <c r="G87" s="218"/>
      <c r="H87" s="218"/>
      <c r="I87" s="218"/>
      <c r="J87" s="218"/>
      <c r="K87" s="218"/>
      <c r="L87" s="218"/>
      <c r="M87" s="218"/>
      <c r="N87" s="218"/>
      <c r="O87" s="243"/>
      <c r="P87" s="244">
        <f>+'Band and Other Music'!H12</f>
        <v>3361</v>
      </c>
      <c r="Q87" s="207">
        <f>+'Band and Other Music'!G12</f>
        <v>3263</v>
      </c>
      <c r="R87" s="207">
        <f>+P87-Q87</f>
        <v>98</v>
      </c>
      <c r="S87" s="208">
        <f>IF(Q87=0,"NA",(+P87-Q87)/Q87)</f>
        <v>3.0033711308611707E-2</v>
      </c>
      <c r="U87" s="206">
        <v>3255.08</v>
      </c>
      <c r="V87" s="206">
        <v>3263</v>
      </c>
      <c r="W87" s="208">
        <f>IF(V87=0,"NA",(+U87-V87)/V87)</f>
        <v>-2.4272142200429275E-3</v>
      </c>
      <c r="X87" s="1074"/>
    </row>
    <row r="88" spans="1:25" ht="13.5" customHeight="1" outlineLevel="1" x14ac:dyDescent="0.35">
      <c r="A88" s="40">
        <v>109</v>
      </c>
      <c r="C88" s="1058" t="s">
        <v>41</v>
      </c>
      <c r="D88" s="1103"/>
      <c r="E88" s="214"/>
      <c r="F88" s="215"/>
      <c r="G88" s="215"/>
      <c r="H88" s="215"/>
      <c r="I88" s="215"/>
      <c r="J88" s="215"/>
      <c r="K88" s="215"/>
      <c r="L88" s="215"/>
      <c r="M88" s="215"/>
      <c r="N88" s="215"/>
      <c r="O88" s="245"/>
      <c r="P88" s="202">
        <v>400</v>
      </c>
      <c r="Q88" s="202">
        <v>400</v>
      </c>
      <c r="R88" s="203">
        <f t="shared" si="35"/>
        <v>0</v>
      </c>
      <c r="S88" s="204">
        <f t="shared" si="36"/>
        <v>0</v>
      </c>
      <c r="U88" s="202">
        <v>0</v>
      </c>
      <c r="V88" s="202">
        <v>400</v>
      </c>
      <c r="W88" s="204">
        <f t="shared" si="37"/>
        <v>-1</v>
      </c>
      <c r="X88" s="1064"/>
    </row>
    <row r="89" spans="1:25" ht="13.5" customHeight="1" outlineLevel="1" x14ac:dyDescent="0.35">
      <c r="A89" s="40">
        <v>110</v>
      </c>
      <c r="C89" s="1058" t="s">
        <v>42</v>
      </c>
      <c r="D89" s="1103"/>
      <c r="E89" s="214"/>
      <c r="F89" s="215"/>
      <c r="G89" s="215"/>
      <c r="H89" s="215"/>
      <c r="I89" s="215"/>
      <c r="J89" s="215"/>
      <c r="K89" s="215"/>
      <c r="L89" s="215"/>
      <c r="M89" s="215"/>
      <c r="N89" s="215"/>
      <c r="O89" s="245"/>
      <c r="P89" s="235">
        <f>+'Band and Other Music'!H32</f>
        <v>17856</v>
      </c>
      <c r="Q89" s="199">
        <f>+'Band and Other Music'!G32</f>
        <v>15060</v>
      </c>
      <c r="R89" s="203">
        <f t="shared" si="35"/>
        <v>2796</v>
      </c>
      <c r="S89" s="204">
        <f t="shared" si="36"/>
        <v>0.1856573705179283</v>
      </c>
      <c r="U89" s="202">
        <v>10840</v>
      </c>
      <c r="V89" s="202">
        <v>15060</v>
      </c>
      <c r="W89" s="204">
        <f t="shared" si="37"/>
        <v>-0.28021248339973437</v>
      </c>
      <c r="X89" s="1064" t="s">
        <v>664</v>
      </c>
    </row>
    <row r="90" spans="1:25" ht="13.5" customHeight="1" outlineLevel="1" x14ac:dyDescent="0.35">
      <c r="A90" s="40">
        <v>110</v>
      </c>
      <c r="C90" s="1248" t="s">
        <v>493</v>
      </c>
      <c r="D90" s="1248"/>
      <c r="E90" s="214"/>
      <c r="F90" s="980"/>
      <c r="G90" s="215"/>
      <c r="H90" s="215"/>
      <c r="I90" s="215"/>
      <c r="J90" s="215"/>
      <c r="K90" s="215"/>
      <c r="L90" s="215"/>
      <c r="M90" s="215"/>
      <c r="N90" s="215"/>
      <c r="O90" s="245"/>
      <c r="P90" s="235">
        <f>+'Band and Other Music'!H58</f>
        <v>8819</v>
      </c>
      <c r="Q90" s="199">
        <f>+'Band and Other Music'!G58</f>
        <v>7005</v>
      </c>
      <c r="R90" s="203">
        <f>+P90-Q90</f>
        <v>1814</v>
      </c>
      <c r="S90" s="204">
        <f>IF(Q90=0,"NA",(+P90-Q90)/Q90)</f>
        <v>0.25895788722341184</v>
      </c>
      <c r="U90" s="202">
        <f>7285-110</f>
        <v>7175</v>
      </c>
      <c r="V90" s="202">
        <v>7005</v>
      </c>
      <c r="W90" s="204">
        <f>IF(V90=0,"NA",(+U90-V90)/V90)</f>
        <v>2.4268379728765169E-2</v>
      </c>
      <c r="X90" s="1064" t="s">
        <v>665</v>
      </c>
    </row>
    <row r="91" spans="1:25" s="2" customFormat="1" ht="13.5" customHeight="1" outlineLevel="1" thickBot="1" x14ac:dyDescent="0.4">
      <c r="A91" s="40">
        <v>114</v>
      </c>
      <c r="B91" s="1121" t="s">
        <v>45</v>
      </c>
      <c r="C91" s="1121"/>
      <c r="D91" s="1121"/>
      <c r="E91" s="67" t="s">
        <v>117</v>
      </c>
      <c r="F91" s="68" t="s">
        <v>118</v>
      </c>
      <c r="G91" s="68" t="s">
        <v>121</v>
      </c>
      <c r="H91" s="68" t="s">
        <v>116</v>
      </c>
      <c r="I91" s="68" t="s">
        <v>117</v>
      </c>
      <c r="J91" s="68" t="s">
        <v>118</v>
      </c>
      <c r="K91" s="68" t="s">
        <v>121</v>
      </c>
      <c r="L91" s="68" t="s">
        <v>116</v>
      </c>
      <c r="M91" s="69" t="s">
        <v>118</v>
      </c>
      <c r="N91" s="69" t="s">
        <v>118</v>
      </c>
      <c r="O91" s="69" t="s">
        <v>118</v>
      </c>
      <c r="P91" s="22">
        <f>SUM(P86:P90)</f>
        <v>48254</v>
      </c>
      <c r="Q91" s="22">
        <f>SUM(Q86:Q90)</f>
        <v>43027</v>
      </c>
      <c r="R91" s="22">
        <f>SUM(R86:R90)</f>
        <v>5227</v>
      </c>
      <c r="S91" s="23">
        <f t="shared" si="36"/>
        <v>0.12148186022729913</v>
      </c>
      <c r="T91" s="562"/>
      <c r="U91" s="22">
        <f>SUM(U86:U90)</f>
        <v>38569.08</v>
      </c>
      <c r="V91" s="22">
        <f>SUM(V86:V90)</f>
        <v>43027</v>
      </c>
      <c r="W91" s="23">
        <f t="shared" si="37"/>
        <v>-0.10360750226601897</v>
      </c>
      <c r="X91" s="1082"/>
      <c r="Y91" s="1"/>
    </row>
    <row r="92" spans="1:25" ht="13.5" customHeight="1" outlineLevel="1" x14ac:dyDescent="0.35">
      <c r="A92" s="40">
        <v>116</v>
      </c>
      <c r="B92" s="1099" t="s">
        <v>46</v>
      </c>
      <c r="O92" s="24"/>
      <c r="P92" s="883"/>
      <c r="Q92" s="24"/>
      <c r="R92" s="24"/>
      <c r="S92" s="4"/>
    </row>
    <row r="93" spans="1:25" ht="13.5" customHeight="1" outlineLevel="1" x14ac:dyDescent="0.35">
      <c r="C93" s="1101" t="s">
        <v>250</v>
      </c>
      <c r="D93" s="1102"/>
      <c r="E93" s="714">
        <v>40</v>
      </c>
      <c r="F93" s="1041">
        <f>ROUNDUP(+J93*(1+F$62+0.02),1)</f>
        <v>23.1</v>
      </c>
      <c r="G93" s="714">
        <v>52</v>
      </c>
      <c r="H93" s="908">
        <f>+IF(J93=0,"NA",ROUND((F93-J93)/J93,3))</f>
        <v>0.05</v>
      </c>
      <c r="I93" s="714">
        <v>52</v>
      </c>
      <c r="J93" s="715">
        <v>22</v>
      </c>
      <c r="K93" s="714">
        <v>52</v>
      </c>
      <c r="L93" s="343">
        <f>IF(M93=0,0,(+K93-M93)/M93)</f>
        <v>1.609131961866533</v>
      </c>
      <c r="M93" s="715">
        <v>19.93</v>
      </c>
      <c r="N93" s="715">
        <v>17.690000000000001</v>
      </c>
      <c r="O93" s="716">
        <v>17</v>
      </c>
      <c r="P93" s="718">
        <f>ROUND(E93*F93*G93,0)</f>
        <v>48048</v>
      </c>
      <c r="Q93" s="344">
        <v>45760</v>
      </c>
      <c r="R93" s="342">
        <f>+P93-Q93</f>
        <v>2288</v>
      </c>
      <c r="S93" s="343">
        <f>IF(Q93=0,"NA",(+P93-Q93)/Q93)</f>
        <v>0.05</v>
      </c>
      <c r="U93" s="341">
        <v>45658.13</v>
      </c>
      <c r="V93" s="341">
        <v>45760</v>
      </c>
      <c r="W93" s="343">
        <f>IF(V93=0,"NA",(+U93-V93)/V93)</f>
        <v>-2.2261800699301271E-3</v>
      </c>
      <c r="X93" s="1063"/>
      <c r="Y93" s="337"/>
    </row>
    <row r="94" spans="1:25" ht="13.5" customHeight="1" outlineLevel="1" x14ac:dyDescent="0.35">
      <c r="A94" s="40">
        <v>118</v>
      </c>
      <c r="C94" s="1058" t="s">
        <v>48</v>
      </c>
      <c r="D94" s="1103"/>
      <c r="E94" s="250">
        <v>25</v>
      </c>
      <c r="F94" s="1042">
        <f>ROUNDUP(+J94*(1+F$62),1)</f>
        <v>18.200000000000003</v>
      </c>
      <c r="G94" s="246">
        <v>52</v>
      </c>
      <c r="H94" s="248">
        <f>+IF(J94=0,"NA",ROUND((F94-J94)/J94,3))</f>
        <v>3.1E-2</v>
      </c>
      <c r="I94" s="246">
        <v>25</v>
      </c>
      <c r="J94" s="247">
        <v>17.649999999999999</v>
      </c>
      <c r="K94" s="246">
        <v>52</v>
      </c>
      <c r="L94" s="204">
        <f>IF(M94=0,0,(+J94-M94)/M94)</f>
        <v>0.10312499999999991</v>
      </c>
      <c r="M94" s="247">
        <v>16</v>
      </c>
      <c r="N94" s="247">
        <v>13.78</v>
      </c>
      <c r="O94" s="247">
        <v>13.64</v>
      </c>
      <c r="P94" s="235">
        <f>ROUND((E94*F94*G94)+(E95*F95*G95),0)</f>
        <v>36868</v>
      </c>
      <c r="Q94" s="219">
        <v>35685</v>
      </c>
      <c r="R94" s="203">
        <f t="shared" ref="R94:R101" si="38">+P94-Q94</f>
        <v>1183</v>
      </c>
      <c r="S94" s="204">
        <f t="shared" ref="S94:S103" si="39">IF(Q94=0,"NA",(+P94-Q94)/Q94)</f>
        <v>3.3151183970856105E-2</v>
      </c>
      <c r="U94" s="219">
        <v>30872.82</v>
      </c>
      <c r="V94" s="202">
        <v>35685</v>
      </c>
      <c r="W94" s="204">
        <f t="shared" ref="W94:W103" si="40">IF(V94=0,"NA",(+U94-V94)/V94)</f>
        <v>-0.13485161832702816</v>
      </c>
      <c r="X94" s="1064"/>
    </row>
    <row r="95" spans="1:25" ht="13.5" hidden="1" customHeight="1" outlineLevel="2" x14ac:dyDescent="0.35">
      <c r="C95" s="1058"/>
      <c r="D95" s="1103"/>
      <c r="E95" s="250">
        <v>20</v>
      </c>
      <c r="F95" s="1042">
        <f>ROUNDUP(+J95*(1+F$62),1)</f>
        <v>12.7</v>
      </c>
      <c r="G95" s="246">
        <v>52</v>
      </c>
      <c r="H95" s="248">
        <f>+IF(J95=0,"NA",ROUND((F95-J95)/J95,3))</f>
        <v>3.6999999999999998E-2</v>
      </c>
      <c r="I95" s="246">
        <v>20</v>
      </c>
      <c r="J95" s="247">
        <v>12.25</v>
      </c>
      <c r="K95" s="246">
        <v>52</v>
      </c>
      <c r="L95" s="204">
        <f>IF(M95=0,0,(+J95-M95)/M95)</f>
        <v>3.2883642495784196E-2</v>
      </c>
      <c r="M95" s="247">
        <v>11.86</v>
      </c>
      <c r="N95" s="247">
        <v>11.57</v>
      </c>
      <c r="O95" s="247">
        <v>13.64</v>
      </c>
      <c r="P95" s="235"/>
      <c r="Q95" s="235"/>
      <c r="R95" s="203"/>
      <c r="S95" s="204"/>
      <c r="U95" s="219"/>
      <c r="V95" s="202"/>
      <c r="W95" s="204"/>
      <c r="X95" s="1064"/>
    </row>
    <row r="96" spans="1:25" ht="13.5" customHeight="1" outlineLevel="1" collapsed="1" x14ac:dyDescent="0.35">
      <c r="A96" s="40">
        <v>119</v>
      </c>
      <c r="C96" s="1058" t="s">
        <v>49</v>
      </c>
      <c r="D96" s="1103"/>
      <c r="E96" s="214"/>
      <c r="F96" s="215"/>
      <c r="G96" s="215"/>
      <c r="H96" s="215"/>
      <c r="I96" s="215"/>
      <c r="J96" s="215"/>
      <c r="K96" s="215"/>
      <c r="L96" s="215"/>
      <c r="M96" s="215"/>
      <c r="N96" s="215"/>
      <c r="O96" s="205"/>
      <c r="P96" s="219">
        <v>800</v>
      </c>
      <c r="Q96" s="202">
        <v>200</v>
      </c>
      <c r="R96" s="203">
        <f t="shared" si="38"/>
        <v>600</v>
      </c>
      <c r="S96" s="204">
        <f t="shared" si="39"/>
        <v>3</v>
      </c>
      <c r="U96" s="219">
        <v>0</v>
      </c>
      <c r="V96" s="202">
        <v>200</v>
      </c>
      <c r="W96" s="204">
        <f t="shared" si="40"/>
        <v>-1</v>
      </c>
      <c r="X96" s="1064" t="s">
        <v>651</v>
      </c>
    </row>
    <row r="97" spans="1:25" ht="13.5" customHeight="1" outlineLevel="1" x14ac:dyDescent="0.35">
      <c r="A97" s="40">
        <v>120</v>
      </c>
      <c r="C97" s="1058" t="s">
        <v>91</v>
      </c>
      <c r="D97" s="1103"/>
      <c r="E97" s="214"/>
      <c r="F97" s="215"/>
      <c r="G97" s="215"/>
      <c r="H97" s="215"/>
      <c r="I97" s="215"/>
      <c r="J97" s="215"/>
      <c r="K97" s="215"/>
      <c r="L97" s="215"/>
      <c r="M97" s="215"/>
      <c r="N97" s="215"/>
      <c r="O97" s="205"/>
      <c r="P97" s="219">
        <v>800</v>
      </c>
      <c r="Q97" s="202">
        <v>700</v>
      </c>
      <c r="R97" s="203">
        <f t="shared" si="38"/>
        <v>100</v>
      </c>
      <c r="S97" s="204">
        <f t="shared" si="39"/>
        <v>0.14285714285714285</v>
      </c>
      <c r="U97" s="202">
        <v>931</v>
      </c>
      <c r="V97" s="202">
        <v>700</v>
      </c>
      <c r="W97" s="204">
        <f t="shared" si="40"/>
        <v>0.33</v>
      </c>
      <c r="X97" s="1064" t="s">
        <v>666</v>
      </c>
      <c r="Y97" s="2"/>
    </row>
    <row r="98" spans="1:25" ht="13.5" customHeight="1" outlineLevel="1" x14ac:dyDescent="0.35">
      <c r="C98" s="1245" t="s">
        <v>510</v>
      </c>
      <c r="D98" s="1245"/>
      <c r="E98" s="246"/>
      <c r="F98" s="695"/>
      <c r="G98" s="246"/>
      <c r="H98" s="248"/>
      <c r="I98" s="246"/>
      <c r="J98" s="247"/>
      <c r="K98" s="246"/>
      <c r="L98" s="204"/>
      <c r="M98" s="247"/>
      <c r="N98" s="247"/>
      <c r="O98" s="247"/>
      <c r="P98" s="719">
        <v>0</v>
      </c>
      <c r="Q98" s="219">
        <v>18670</v>
      </c>
      <c r="R98" s="203">
        <f>+P98-Q98</f>
        <v>-18670</v>
      </c>
      <c r="S98" s="204">
        <f>IF(Q98=0,"NA",(+P98-Q98)/Q98)</f>
        <v>-1</v>
      </c>
      <c r="U98" s="219">
        <v>4800</v>
      </c>
      <c r="V98" s="202">
        <v>18670</v>
      </c>
      <c r="W98" s="204">
        <f>IF(V98=0,"NA",(+U98-V98)/V98)</f>
        <v>-0.74290305302624526</v>
      </c>
      <c r="X98" s="1064"/>
      <c r="Y98" s="36"/>
    </row>
    <row r="99" spans="1:25" ht="13.5" customHeight="1" outlineLevel="1" x14ac:dyDescent="0.35">
      <c r="A99" s="40">
        <v>123</v>
      </c>
      <c r="C99" s="1058" t="s">
        <v>50</v>
      </c>
      <c r="D99" s="1103"/>
      <c r="E99" s="252"/>
      <c r="F99" s="371"/>
      <c r="G99" s="252"/>
      <c r="H99" s="252"/>
      <c r="I99" s="252"/>
      <c r="J99" s="253"/>
      <c r="K99" s="254"/>
      <c r="L99" s="254"/>
      <c r="M99" s="255">
        <v>7.6499999999999999E-2</v>
      </c>
      <c r="N99" s="255"/>
      <c r="O99" s="205"/>
      <c r="P99" s="219">
        <f>ROUND((+P84+P91+P93+P94+P101)*$M99,0)</f>
        <v>12290</v>
      </c>
      <c r="Q99" s="219">
        <v>9603</v>
      </c>
      <c r="R99" s="203">
        <f>+P99-Q99</f>
        <v>2687</v>
      </c>
      <c r="S99" s="204">
        <f t="shared" si="39"/>
        <v>0.27980839321045509</v>
      </c>
      <c r="U99" s="219">
        <v>8649.35</v>
      </c>
      <c r="V99" s="219">
        <v>9603</v>
      </c>
      <c r="W99" s="204">
        <f t="shared" si="40"/>
        <v>-9.9307508070394637E-2</v>
      </c>
      <c r="X99" s="1064"/>
      <c r="Y99" s="43"/>
    </row>
    <row r="100" spans="1:25" ht="13.5" customHeight="1" outlineLevel="1" x14ac:dyDescent="0.35">
      <c r="A100" s="40">
        <v>124</v>
      </c>
      <c r="C100" s="1058" t="s">
        <v>51</v>
      </c>
      <c r="D100" s="1103"/>
      <c r="E100" s="214"/>
      <c r="F100" s="372"/>
      <c r="G100" s="372"/>
      <c r="H100" s="372"/>
      <c r="I100" s="215"/>
      <c r="J100" s="215"/>
      <c r="K100" s="215"/>
      <c r="L100" s="215"/>
      <c r="M100" s="215"/>
      <c r="N100" s="215"/>
      <c r="O100" s="205"/>
      <c r="P100" s="219">
        <f>ROUNDUP(845.5*5,0)-0.5</f>
        <v>4227.5</v>
      </c>
      <c r="Q100" s="219">
        <v>3382</v>
      </c>
      <c r="R100" s="203">
        <f t="shared" si="38"/>
        <v>845.5</v>
      </c>
      <c r="S100" s="204">
        <f t="shared" si="39"/>
        <v>0.25</v>
      </c>
      <c r="U100" s="219">
        <v>2043</v>
      </c>
      <c r="V100" s="219">
        <v>3382</v>
      </c>
      <c r="W100" s="204">
        <f t="shared" si="40"/>
        <v>-0.39591957421643997</v>
      </c>
      <c r="X100" s="1070"/>
      <c r="Y100" s="43"/>
    </row>
    <row r="101" spans="1:25" ht="13.5" customHeight="1" outlineLevel="1" x14ac:dyDescent="0.35">
      <c r="A101" s="40">
        <v>125</v>
      </c>
      <c r="C101" s="1058" t="s">
        <v>52</v>
      </c>
      <c r="D101" s="1103"/>
      <c r="P101" s="50">
        <f>(175+50+50)*6</f>
        <v>1650</v>
      </c>
      <c r="Q101" s="48">
        <v>1000</v>
      </c>
      <c r="R101" s="35">
        <f t="shared" si="38"/>
        <v>650</v>
      </c>
      <c r="S101" s="3">
        <f t="shared" si="39"/>
        <v>0.65</v>
      </c>
      <c r="U101" s="50">
        <v>5670.72</v>
      </c>
      <c r="V101" s="50">
        <v>1000</v>
      </c>
      <c r="W101" s="3">
        <f t="shared" si="40"/>
        <v>4.6707200000000002</v>
      </c>
      <c r="X101" s="1083" t="s">
        <v>648</v>
      </c>
    </row>
    <row r="102" spans="1:25" s="2" customFormat="1" ht="13.5" customHeight="1" outlineLevel="1" x14ac:dyDescent="0.35">
      <c r="A102" s="40">
        <v>127</v>
      </c>
      <c r="B102" s="1121" t="s">
        <v>47</v>
      </c>
      <c r="C102" s="1121"/>
      <c r="D102" s="1121"/>
      <c r="E102" s="62"/>
      <c r="F102" s="62"/>
      <c r="G102" s="62"/>
      <c r="H102" s="62"/>
      <c r="I102" s="62"/>
      <c r="J102" s="62"/>
      <c r="K102" s="62"/>
      <c r="L102" s="62"/>
      <c r="M102" s="62"/>
      <c r="N102" s="62"/>
      <c r="O102" s="22"/>
      <c r="P102" s="22">
        <f>SUM(P93:P101)</f>
        <v>104683.5</v>
      </c>
      <c r="Q102" s="22">
        <f>SUM(Q93:Q101)</f>
        <v>115000</v>
      </c>
      <c r="R102" s="22">
        <f>SUM(R93:R101)</f>
        <v>-10316.5</v>
      </c>
      <c r="S102" s="23">
        <f t="shared" si="39"/>
        <v>-8.9708695652173917E-2</v>
      </c>
      <c r="T102" s="562"/>
      <c r="U102" s="22">
        <f>SUM(U93:U101)</f>
        <v>98625.02</v>
      </c>
      <c r="V102" s="22">
        <f>SUM(V93:V101)</f>
        <v>115000</v>
      </c>
      <c r="W102" s="23">
        <f t="shared" si="40"/>
        <v>-0.14239113043478258</v>
      </c>
      <c r="X102" s="1082"/>
      <c r="Y102" s="24"/>
    </row>
    <row r="103" spans="1:25" ht="17" customHeight="1" x14ac:dyDescent="0.35">
      <c r="A103" s="40">
        <v>128</v>
      </c>
      <c r="B103" s="1121" t="s">
        <v>53</v>
      </c>
      <c r="C103" s="1121"/>
      <c r="D103" s="1121"/>
      <c r="E103" s="62"/>
      <c r="F103" s="23"/>
      <c r="G103" s="23"/>
      <c r="H103" s="23"/>
      <c r="I103" s="23"/>
      <c r="J103" s="23"/>
      <c r="K103" s="23"/>
      <c r="L103" s="23"/>
      <c r="M103" s="23"/>
      <c r="N103" s="23"/>
      <c r="O103" s="32"/>
      <c r="P103" s="22">
        <f>+P72+P83+P84+P91+P102</f>
        <v>273900.576</v>
      </c>
      <c r="Q103" s="22">
        <f>+Q72+Q83+Q84+Q91+Q102</f>
        <v>284616</v>
      </c>
      <c r="R103" s="22">
        <f>+R72+R83+R84+R91+R102</f>
        <v>-10715.423999999999</v>
      </c>
      <c r="S103" s="23">
        <f t="shared" si="39"/>
        <v>-3.764870562442027E-2</v>
      </c>
      <c r="U103" s="22">
        <f>+U72+U83+U84+U91+U102</f>
        <v>205355.33000000002</v>
      </c>
      <c r="V103" s="22">
        <f>+V72+V83+V84+V91+V102</f>
        <v>284616</v>
      </c>
      <c r="W103" s="23">
        <f t="shared" si="40"/>
        <v>-0.27848283301009075</v>
      </c>
      <c r="X103" s="1082"/>
      <c r="Y103" s="24"/>
    </row>
    <row r="104" spans="1:25" ht="17" customHeight="1" x14ac:dyDescent="0.35">
      <c r="A104" s="40">
        <v>130</v>
      </c>
      <c r="B104" s="1109" t="s">
        <v>54</v>
      </c>
      <c r="S104" s="4"/>
    </row>
    <row r="105" spans="1:25" ht="13.5" customHeight="1" x14ac:dyDescent="0.35">
      <c r="A105" s="40">
        <v>131</v>
      </c>
      <c r="B105" s="1099" t="s">
        <v>55</v>
      </c>
      <c r="E105" s="981"/>
      <c r="F105" s="982"/>
      <c r="S105" s="4"/>
    </row>
    <row r="106" spans="1:25" ht="13.5" customHeight="1" x14ac:dyDescent="0.35">
      <c r="A106" s="40">
        <v>132</v>
      </c>
      <c r="C106" s="1101" t="s">
        <v>57</v>
      </c>
      <c r="D106" s="1102"/>
      <c r="E106" s="339"/>
      <c r="F106" s="340"/>
      <c r="G106" s="340"/>
      <c r="H106" s="340"/>
      <c r="I106" s="340"/>
      <c r="J106" s="340"/>
      <c r="K106" s="340"/>
      <c r="L106" s="340"/>
      <c r="M106" s="340"/>
      <c r="N106" s="340"/>
      <c r="O106" s="337"/>
      <c r="P106" s="344">
        <v>13000</v>
      </c>
      <c r="Q106" s="344">
        <v>12000</v>
      </c>
      <c r="R106" s="342">
        <f t="shared" ref="R106:R111" si="41">+P106-Q106</f>
        <v>1000</v>
      </c>
      <c r="S106" s="343">
        <f t="shared" ref="S106:S112" si="42">IF(Q106=0,"NA",(+P106-Q106)/Q106)</f>
        <v>8.3333333333333329E-2</v>
      </c>
      <c r="U106" s="341">
        <v>12733.02</v>
      </c>
      <c r="V106" s="341">
        <v>12000</v>
      </c>
      <c r="W106" s="343">
        <f t="shared" ref="W106:W112" si="43">IF(V106=0,"NA",(+U106-V106)/V106)</f>
        <v>6.1085000000000035E-2</v>
      </c>
      <c r="X106" s="1063"/>
    </row>
    <row r="107" spans="1:25" ht="13.5" customHeight="1" x14ac:dyDescent="0.35">
      <c r="A107" s="40">
        <v>133</v>
      </c>
      <c r="C107" s="1058" t="s">
        <v>58</v>
      </c>
      <c r="D107" s="1103"/>
      <c r="E107" s="213"/>
      <c r="F107" s="213"/>
      <c r="G107" s="213"/>
      <c r="H107" s="213"/>
      <c r="I107" s="213"/>
      <c r="J107" s="213"/>
      <c r="K107" s="213"/>
      <c r="L107" s="213"/>
      <c r="M107" s="213"/>
      <c r="N107" s="213"/>
      <c r="O107" s="213"/>
      <c r="P107" s="219">
        <v>12000</v>
      </c>
      <c r="Q107" s="219">
        <f>700*12</f>
        <v>8400</v>
      </c>
      <c r="R107" s="203">
        <f t="shared" si="41"/>
        <v>3600</v>
      </c>
      <c r="S107" s="204">
        <f t="shared" si="42"/>
        <v>0.42857142857142855</v>
      </c>
      <c r="U107" s="202">
        <v>12543.53</v>
      </c>
      <c r="V107" s="202">
        <v>8400</v>
      </c>
      <c r="W107" s="204">
        <f t="shared" si="43"/>
        <v>0.49327738095238105</v>
      </c>
      <c r="X107" s="1074"/>
    </row>
    <row r="108" spans="1:25" ht="13.5" customHeight="1" x14ac:dyDescent="0.35">
      <c r="A108" s="40">
        <v>134</v>
      </c>
      <c r="C108" s="1101" t="s">
        <v>228</v>
      </c>
      <c r="D108" s="1102"/>
      <c r="E108" s="338"/>
      <c r="F108" s="338"/>
      <c r="G108" s="338"/>
      <c r="H108" s="338"/>
      <c r="I108" s="338"/>
      <c r="J108" s="338"/>
      <c r="K108" s="338"/>
      <c r="L108" s="338"/>
      <c r="M108" s="338"/>
      <c r="N108" s="338"/>
      <c r="O108" s="338"/>
      <c r="P108" s="341">
        <f>(425*12)-Technology!C18+500</f>
        <v>2256.8000000000002</v>
      </c>
      <c r="Q108" s="341">
        <f>425*12</f>
        <v>5100</v>
      </c>
      <c r="R108" s="342">
        <f t="shared" si="41"/>
        <v>-2843.2</v>
      </c>
      <c r="S108" s="343">
        <f t="shared" si="42"/>
        <v>-0.55749019607843131</v>
      </c>
      <c r="U108" s="341">
        <v>6284.26</v>
      </c>
      <c r="V108" s="341">
        <v>5100</v>
      </c>
      <c r="W108" s="343">
        <f t="shared" si="43"/>
        <v>0.23220784313725495</v>
      </c>
      <c r="X108" s="1064" t="s">
        <v>650</v>
      </c>
      <c r="Y108" s="2"/>
    </row>
    <row r="109" spans="1:25" ht="13.5" customHeight="1" x14ac:dyDescent="0.35">
      <c r="A109" s="40">
        <v>135</v>
      </c>
      <c r="C109" s="1105" t="s">
        <v>60</v>
      </c>
      <c r="D109" s="1106"/>
      <c r="E109" s="216"/>
      <c r="F109" s="216"/>
      <c r="G109" s="216"/>
      <c r="H109" s="216"/>
      <c r="I109" s="216"/>
      <c r="J109" s="216"/>
      <c r="K109" s="216"/>
      <c r="L109" s="216"/>
      <c r="M109" s="216"/>
      <c r="N109" s="216"/>
      <c r="O109" s="216"/>
      <c r="P109" s="206">
        <v>1800</v>
      </c>
      <c r="Q109" s="206">
        <v>1800</v>
      </c>
      <c r="R109" s="207">
        <f t="shared" si="41"/>
        <v>0</v>
      </c>
      <c r="S109" s="208">
        <f t="shared" si="42"/>
        <v>0</v>
      </c>
      <c r="U109" s="206">
        <v>1339.26</v>
      </c>
      <c r="V109" s="206">
        <v>1800</v>
      </c>
      <c r="W109" s="208">
        <f t="shared" si="43"/>
        <v>-0.25596666666666668</v>
      </c>
      <c r="X109" s="1074"/>
    </row>
    <row r="110" spans="1:25" ht="13.5" customHeight="1" x14ac:dyDescent="0.35">
      <c r="A110" s="40">
        <v>136</v>
      </c>
      <c r="C110" s="1105" t="s">
        <v>61</v>
      </c>
      <c r="D110" s="1106"/>
      <c r="E110" s="216"/>
      <c r="F110" s="216"/>
      <c r="G110" s="216"/>
      <c r="H110" s="216"/>
      <c r="I110" s="216"/>
      <c r="J110" s="216"/>
      <c r="K110" s="216"/>
      <c r="L110" s="216"/>
      <c r="M110" s="216"/>
      <c r="N110" s="216"/>
      <c r="O110" s="216"/>
      <c r="P110" s="206">
        <v>350</v>
      </c>
      <c r="Q110" s="206">
        <v>350</v>
      </c>
      <c r="R110" s="207">
        <f t="shared" si="41"/>
        <v>0</v>
      </c>
      <c r="S110" s="208">
        <f t="shared" si="42"/>
        <v>0</v>
      </c>
      <c r="U110" s="206">
        <v>313.39999999999998</v>
      </c>
      <c r="V110" s="206">
        <v>350</v>
      </c>
      <c r="W110" s="208">
        <f t="shared" si="43"/>
        <v>-0.10457142857142863</v>
      </c>
      <c r="X110" s="1074"/>
    </row>
    <row r="111" spans="1:25" ht="13.5" customHeight="1" x14ac:dyDescent="0.35">
      <c r="A111" s="40">
        <v>138</v>
      </c>
      <c r="B111" s="1122"/>
      <c r="C111" s="1105" t="s">
        <v>96</v>
      </c>
      <c r="D111" s="1106"/>
      <c r="E111" s="216"/>
      <c r="F111" s="216"/>
      <c r="G111" s="216"/>
      <c r="H111" s="216"/>
      <c r="I111" s="216"/>
      <c r="J111" s="216"/>
      <c r="K111" s="216"/>
      <c r="L111" s="216"/>
      <c r="M111" s="216"/>
      <c r="N111" s="216"/>
      <c r="O111" s="216"/>
      <c r="P111" s="206">
        <v>7000</v>
      </c>
      <c r="Q111" s="206">
        <v>7000</v>
      </c>
      <c r="R111" s="207">
        <f t="shared" si="41"/>
        <v>0</v>
      </c>
      <c r="S111" s="208">
        <f t="shared" si="42"/>
        <v>0</v>
      </c>
      <c r="U111" s="206">
        <v>6438.88</v>
      </c>
      <c r="V111" s="206">
        <v>7000</v>
      </c>
      <c r="W111" s="208">
        <f t="shared" si="43"/>
        <v>-8.0159999999999981E-2</v>
      </c>
      <c r="X111" s="1074"/>
    </row>
    <row r="112" spans="1:25" s="2" customFormat="1" ht="13.5" customHeight="1" x14ac:dyDescent="0.35">
      <c r="A112" s="40">
        <v>139</v>
      </c>
      <c r="B112" s="1123" t="s">
        <v>63</v>
      </c>
      <c r="C112" s="1123"/>
      <c r="D112" s="1123"/>
      <c r="E112" s="63"/>
      <c r="F112" s="63"/>
      <c r="G112" s="63"/>
      <c r="H112" s="63"/>
      <c r="I112" s="63"/>
      <c r="J112" s="63"/>
      <c r="K112" s="63"/>
      <c r="L112" s="63"/>
      <c r="M112" s="63"/>
      <c r="N112" s="63"/>
      <c r="O112" s="25"/>
      <c r="P112" s="25">
        <f>SUM(P106:P111)</f>
        <v>36406.800000000003</v>
      </c>
      <c r="Q112" s="25">
        <f>SUM(Q106:Q111)</f>
        <v>34650</v>
      </c>
      <c r="R112" s="25">
        <f>SUM(R106:R111)</f>
        <v>1756.8000000000002</v>
      </c>
      <c r="S112" s="26">
        <f t="shared" si="42"/>
        <v>5.0701298701298789E-2</v>
      </c>
      <c r="T112" s="562"/>
      <c r="U112" s="25">
        <f>SUM(U106:U111)</f>
        <v>39652.350000000006</v>
      </c>
      <c r="V112" s="25">
        <f>SUM(V106:V111)</f>
        <v>34650</v>
      </c>
      <c r="W112" s="26">
        <f t="shared" si="43"/>
        <v>0.14436796536796553</v>
      </c>
      <c r="X112" s="1084"/>
    </row>
    <row r="113" spans="1:25" ht="13.5" customHeight="1" x14ac:dyDescent="0.35">
      <c r="A113" s="40">
        <v>141</v>
      </c>
      <c r="B113" s="1099" t="s">
        <v>64</v>
      </c>
      <c r="S113" s="4"/>
    </row>
    <row r="114" spans="1:25" ht="13.5" customHeight="1" x14ac:dyDescent="0.35">
      <c r="A114" s="40">
        <v>142</v>
      </c>
      <c r="C114" s="1101" t="s">
        <v>65</v>
      </c>
      <c r="D114" s="1102"/>
      <c r="E114" s="339"/>
      <c r="F114" s="340"/>
      <c r="G114" s="340"/>
      <c r="H114" s="340"/>
      <c r="I114" s="340"/>
      <c r="J114" s="340"/>
      <c r="K114" s="340"/>
      <c r="L114" s="340"/>
      <c r="M114" s="340"/>
      <c r="N114" s="340"/>
      <c r="O114" s="337"/>
      <c r="P114" s="344">
        <v>14000</v>
      </c>
      <c r="Q114" s="344">
        <v>14000</v>
      </c>
      <c r="R114" s="342">
        <f t="shared" ref="R114:R118" si="44">+P114-Q114</f>
        <v>0</v>
      </c>
      <c r="S114" s="343">
        <f t="shared" ref="S114:S120" si="45">IF(Q114=0,"NA",(+P114-Q114)/Q114)</f>
        <v>0</v>
      </c>
      <c r="U114" s="341">
        <v>14371.5</v>
      </c>
      <c r="V114" s="341">
        <v>14000</v>
      </c>
      <c r="W114" s="343">
        <f t="shared" ref="W114:W120" si="46">IF(V114=0,"NA",(+U114-V114)/V114)</f>
        <v>2.6535714285714284E-2</v>
      </c>
      <c r="X114" s="1063"/>
    </row>
    <row r="115" spans="1:25" ht="13.5" customHeight="1" x14ac:dyDescent="0.35">
      <c r="A115" s="40">
        <v>143</v>
      </c>
      <c r="C115" s="1105" t="s">
        <v>66</v>
      </c>
      <c r="D115" s="1106"/>
      <c r="E115" s="217"/>
      <c r="F115" s="218"/>
      <c r="G115" s="218"/>
      <c r="H115" s="218"/>
      <c r="I115" s="218"/>
      <c r="J115" s="218"/>
      <c r="K115" s="218"/>
      <c r="L115" s="218"/>
      <c r="M115" s="218"/>
      <c r="N115" s="218"/>
      <c r="O115" s="209"/>
      <c r="P115" s="206">
        <v>6000</v>
      </c>
      <c r="Q115" s="206">
        <v>6000</v>
      </c>
      <c r="R115" s="207">
        <f t="shared" si="44"/>
        <v>0</v>
      </c>
      <c r="S115" s="208">
        <f t="shared" si="45"/>
        <v>0</v>
      </c>
      <c r="U115" s="206">
        <v>3118</v>
      </c>
      <c r="V115" s="206">
        <v>6000</v>
      </c>
      <c r="W115" s="208">
        <f t="shared" si="46"/>
        <v>-0.48033333333333333</v>
      </c>
      <c r="X115" s="1074"/>
    </row>
    <row r="116" spans="1:25" ht="13.5" customHeight="1" x14ac:dyDescent="0.35">
      <c r="A116" s="40">
        <v>159</v>
      </c>
      <c r="C116" s="1105" t="s">
        <v>89</v>
      </c>
      <c r="D116" s="1106"/>
      <c r="E116" s="217"/>
      <c r="F116" s="218"/>
      <c r="G116" s="218"/>
      <c r="H116" s="218"/>
      <c r="I116" s="218"/>
      <c r="J116" s="218"/>
      <c r="K116" s="218"/>
      <c r="L116" s="218"/>
      <c r="M116" s="218"/>
      <c r="N116" s="218"/>
      <c r="O116" s="209"/>
      <c r="P116" s="206">
        <v>4500</v>
      </c>
      <c r="Q116" s="206">
        <v>4500</v>
      </c>
      <c r="R116" s="207">
        <f t="shared" si="44"/>
        <v>0</v>
      </c>
      <c r="S116" s="208">
        <f t="shared" si="45"/>
        <v>0</v>
      </c>
      <c r="U116" s="206">
        <v>3952.14</v>
      </c>
      <c r="V116" s="206">
        <v>4500</v>
      </c>
      <c r="W116" s="208">
        <f t="shared" si="46"/>
        <v>-0.1217466666666667</v>
      </c>
      <c r="X116" s="1074"/>
    </row>
    <row r="117" spans="1:25" ht="13.5" customHeight="1" x14ac:dyDescent="0.35">
      <c r="A117" s="40">
        <v>145</v>
      </c>
      <c r="C117" s="1244" t="s">
        <v>92</v>
      </c>
      <c r="D117" s="1244"/>
      <c r="E117" s="346"/>
      <c r="F117" s="346"/>
      <c r="G117" s="346"/>
      <c r="H117" s="346"/>
      <c r="I117" s="346"/>
      <c r="J117" s="346"/>
      <c r="K117" s="346"/>
      <c r="L117" s="346"/>
      <c r="M117" s="346"/>
      <c r="N117" s="346"/>
      <c r="O117" s="345"/>
      <c r="P117" s="220">
        <v>6000</v>
      </c>
      <c r="Q117" s="220">
        <v>6000</v>
      </c>
      <c r="R117" s="207">
        <f t="shared" si="44"/>
        <v>0</v>
      </c>
      <c r="S117" s="208">
        <f t="shared" si="45"/>
        <v>0</v>
      </c>
      <c r="U117" s="206">
        <v>5965.4</v>
      </c>
      <c r="V117" s="206">
        <v>6000</v>
      </c>
      <c r="W117" s="208">
        <f t="shared" si="46"/>
        <v>-5.7666666666667272E-3</v>
      </c>
      <c r="X117" s="1064"/>
    </row>
    <row r="118" spans="1:25" ht="13.5" customHeight="1" x14ac:dyDescent="0.35">
      <c r="A118" s="40">
        <v>146</v>
      </c>
      <c r="C118" s="1105" t="s">
        <v>67</v>
      </c>
      <c r="D118" s="1106"/>
      <c r="E118" s="217"/>
      <c r="F118" s="218"/>
      <c r="G118" s="218"/>
      <c r="H118" s="218"/>
      <c r="I118" s="218"/>
      <c r="J118" s="218"/>
      <c r="K118" s="218"/>
      <c r="L118" s="218"/>
      <c r="M118" s="218"/>
      <c r="N118" s="218"/>
      <c r="O118" s="209"/>
      <c r="P118" s="206">
        <v>10000</v>
      </c>
      <c r="Q118" s="206">
        <v>10000</v>
      </c>
      <c r="R118" s="207">
        <f t="shared" si="44"/>
        <v>0</v>
      </c>
      <c r="S118" s="208">
        <f t="shared" si="45"/>
        <v>0</v>
      </c>
      <c r="U118" s="220">
        <v>4113.93</v>
      </c>
      <c r="V118" s="206">
        <v>10000</v>
      </c>
      <c r="W118" s="208">
        <f t="shared" si="46"/>
        <v>-0.58860699999999999</v>
      </c>
      <c r="X118" s="1063"/>
    </row>
    <row r="119" spans="1:25" s="2" customFormat="1" ht="13.5" customHeight="1" x14ac:dyDescent="0.35">
      <c r="A119" s="40">
        <v>150</v>
      </c>
      <c r="B119" s="1123" t="s">
        <v>68</v>
      </c>
      <c r="C119" s="1123"/>
      <c r="D119" s="1123"/>
      <c r="E119" s="63"/>
      <c r="F119" s="63"/>
      <c r="G119" s="63"/>
      <c r="H119" s="63"/>
      <c r="I119" s="63"/>
      <c r="J119" s="63"/>
      <c r="K119" s="63"/>
      <c r="L119" s="63"/>
      <c r="M119" s="63"/>
      <c r="N119" s="63"/>
      <c r="O119" s="25"/>
      <c r="P119" s="25">
        <f>SUM(P114:P118)</f>
        <v>40500</v>
      </c>
      <c r="Q119" s="25">
        <f>SUM(Q114:Q118)</f>
        <v>40500</v>
      </c>
      <c r="R119" s="25">
        <f>SUM(R114:R118)</f>
        <v>0</v>
      </c>
      <c r="S119" s="26">
        <f t="shared" si="45"/>
        <v>0</v>
      </c>
      <c r="T119" s="562"/>
      <c r="U119" s="25">
        <f>SUM(U114:U118)</f>
        <v>31520.97</v>
      </c>
      <c r="V119" s="25">
        <f>SUM(V114:V118)</f>
        <v>40500</v>
      </c>
      <c r="W119" s="26">
        <f t="shared" si="46"/>
        <v>-0.22170444444444443</v>
      </c>
      <c r="X119" s="1084"/>
      <c r="Y119" s="1"/>
    </row>
    <row r="120" spans="1:25" ht="17" customHeight="1" x14ac:dyDescent="0.35">
      <c r="A120" s="40">
        <v>151</v>
      </c>
      <c r="B120" s="1123" t="s">
        <v>69</v>
      </c>
      <c r="C120" s="1123"/>
      <c r="D120" s="1123"/>
      <c r="E120" s="63"/>
      <c r="F120" s="63"/>
      <c r="G120" s="63"/>
      <c r="H120" s="63"/>
      <c r="I120" s="63"/>
      <c r="J120" s="63"/>
      <c r="K120" s="63"/>
      <c r="L120" s="63"/>
      <c r="M120" s="63"/>
      <c r="N120" s="63"/>
      <c r="O120" s="25"/>
      <c r="P120" s="25">
        <f>+P112+P119</f>
        <v>76906.8</v>
      </c>
      <c r="Q120" s="25">
        <f>+Q112+Q119</f>
        <v>75150</v>
      </c>
      <c r="R120" s="25">
        <f>+R112+R119</f>
        <v>1756.8000000000002</v>
      </c>
      <c r="S120" s="26">
        <f t="shared" si="45"/>
        <v>2.3377245508982073E-2</v>
      </c>
      <c r="U120" s="25">
        <f>+U112+U119</f>
        <v>71173.320000000007</v>
      </c>
      <c r="V120" s="25">
        <f>+V112+V119</f>
        <v>75150</v>
      </c>
      <c r="W120" s="26">
        <f t="shared" si="46"/>
        <v>-5.2916566866267375E-2</v>
      </c>
      <c r="X120" s="1084"/>
    </row>
    <row r="121" spans="1:25" ht="23" customHeight="1" x14ac:dyDescent="0.35">
      <c r="A121" s="40">
        <v>154</v>
      </c>
      <c r="B121" s="1109" t="s">
        <v>71</v>
      </c>
      <c r="S121" s="4"/>
    </row>
    <row r="122" spans="1:25" ht="18.5" x14ac:dyDescent="0.35">
      <c r="B122" s="1109"/>
      <c r="C122" s="1110" t="s">
        <v>527</v>
      </c>
      <c r="D122" s="1111"/>
      <c r="E122" s="211"/>
      <c r="F122" s="212"/>
      <c r="G122" s="212"/>
      <c r="H122" s="212"/>
      <c r="I122" s="212"/>
      <c r="J122" s="212"/>
      <c r="K122" s="212"/>
      <c r="L122" s="212"/>
      <c r="M122" s="212"/>
      <c r="N122" s="212"/>
      <c r="O122" s="201"/>
      <c r="P122" s="221">
        <v>0</v>
      </c>
      <c r="Q122" s="221"/>
      <c r="R122" s="199">
        <f>+P122-Q122</f>
        <v>0</v>
      </c>
      <c r="S122" s="200" t="str">
        <f>IF(Q122=0,"NA",(+P122-Q122)/Q122)</f>
        <v>NA</v>
      </c>
      <c r="U122" s="198">
        <v>18949.990000000002</v>
      </c>
      <c r="V122" s="198">
        <v>0</v>
      </c>
      <c r="W122" s="200" t="str">
        <f>IF(V122=0,"NA",(+U122-V122)/V122)</f>
        <v>NA</v>
      </c>
      <c r="X122" s="1070"/>
    </row>
    <row r="123" spans="1:25" hidden="1" x14ac:dyDescent="0.35">
      <c r="C123" s="1110" t="s">
        <v>72</v>
      </c>
      <c r="D123" s="1111"/>
      <c r="E123" s="211"/>
      <c r="F123" s="212"/>
      <c r="G123" s="212"/>
      <c r="H123" s="212"/>
      <c r="I123" s="212"/>
      <c r="J123" s="212"/>
      <c r="K123" s="212"/>
      <c r="L123" s="212"/>
      <c r="M123" s="212"/>
      <c r="N123" s="212"/>
      <c r="O123" s="201"/>
      <c r="P123" s="221">
        <v>0</v>
      </c>
      <c r="Q123" s="221">
        <v>0</v>
      </c>
      <c r="R123" s="199">
        <f t="shared" ref="R123:R128" si="47">+P123-Q123</f>
        <v>0</v>
      </c>
      <c r="S123" s="200" t="str">
        <f t="shared" ref="S123:S129" si="48">IF(Q123=0,"NA",(+P123-Q123)/Q123)</f>
        <v>NA</v>
      </c>
      <c r="U123" s="198">
        <v>0</v>
      </c>
      <c r="V123" s="198">
        <v>0</v>
      </c>
      <c r="W123" s="200" t="str">
        <f t="shared" ref="W123:W128" si="49">IF(V123=0,"NA",(+U123-V123)/V123)</f>
        <v>NA</v>
      </c>
      <c r="X123" s="1070"/>
    </row>
    <row r="124" spans="1:25" hidden="1" x14ac:dyDescent="0.35">
      <c r="C124" s="1058" t="s">
        <v>138</v>
      </c>
      <c r="D124" s="1103"/>
      <c r="E124" s="214"/>
      <c r="F124" s="215"/>
      <c r="G124" s="215"/>
      <c r="H124" s="215"/>
      <c r="I124" s="215"/>
      <c r="J124" s="215"/>
      <c r="K124" s="215"/>
      <c r="L124" s="215"/>
      <c r="M124" s="215"/>
      <c r="N124" s="215"/>
      <c r="O124" s="205"/>
      <c r="P124" s="219">
        <v>0</v>
      </c>
      <c r="Q124" s="219">
        <v>0</v>
      </c>
      <c r="R124" s="203">
        <f t="shared" si="47"/>
        <v>0</v>
      </c>
      <c r="S124" s="204" t="str">
        <f t="shared" si="48"/>
        <v>NA</v>
      </c>
      <c r="U124" s="202">
        <v>0</v>
      </c>
      <c r="V124" s="202">
        <v>0</v>
      </c>
      <c r="W124" s="204" t="str">
        <f t="shared" si="49"/>
        <v>NA</v>
      </c>
      <c r="X124" s="1064"/>
    </row>
    <row r="125" spans="1:25" x14ac:dyDescent="0.35">
      <c r="A125" s="40">
        <v>156</v>
      </c>
      <c r="C125" s="1058" t="s">
        <v>108</v>
      </c>
      <c r="D125" s="1103"/>
      <c r="E125" s="214"/>
      <c r="F125" s="215"/>
      <c r="G125" s="215"/>
      <c r="H125" s="215"/>
      <c r="I125" s="215"/>
      <c r="J125" s="215"/>
      <c r="K125" s="215"/>
      <c r="L125" s="215"/>
      <c r="M125" s="215"/>
      <c r="N125" s="215"/>
      <c r="O125" s="205"/>
      <c r="P125" s="219">
        <v>0</v>
      </c>
      <c r="Q125" s="219">
        <v>0</v>
      </c>
      <c r="R125" s="203">
        <f t="shared" si="47"/>
        <v>0</v>
      </c>
      <c r="S125" s="204" t="str">
        <f t="shared" si="48"/>
        <v>NA</v>
      </c>
      <c r="U125" s="219">
        <v>61102.28</v>
      </c>
      <c r="V125" s="202">
        <v>0</v>
      </c>
      <c r="W125" s="204" t="str">
        <f t="shared" si="49"/>
        <v>NA</v>
      </c>
      <c r="X125" s="1064"/>
    </row>
    <row r="126" spans="1:25" hidden="1" x14ac:dyDescent="0.35">
      <c r="A126" s="40">
        <v>157</v>
      </c>
      <c r="C126" s="1058" t="s">
        <v>113</v>
      </c>
      <c r="D126" s="1103"/>
      <c r="E126" s="214"/>
      <c r="F126" s="215"/>
      <c r="G126" s="215"/>
      <c r="H126" s="215"/>
      <c r="I126" s="215"/>
      <c r="J126" s="215"/>
      <c r="K126" s="215"/>
      <c r="L126" s="215"/>
      <c r="M126" s="215"/>
      <c r="N126" s="215"/>
      <c r="O126" s="205"/>
      <c r="P126" s="219">
        <v>0</v>
      </c>
      <c r="Q126" s="219">
        <v>0</v>
      </c>
      <c r="R126" s="203">
        <f t="shared" si="47"/>
        <v>0</v>
      </c>
      <c r="S126" s="204" t="str">
        <f t="shared" si="48"/>
        <v>NA</v>
      </c>
      <c r="U126" s="219">
        <v>0</v>
      </c>
      <c r="V126" s="202">
        <v>0</v>
      </c>
      <c r="W126" s="249" t="s">
        <v>373</v>
      </c>
      <c r="X126" s="1086"/>
    </row>
    <row r="127" spans="1:25" hidden="1" x14ac:dyDescent="0.35">
      <c r="A127" s="40">
        <v>157</v>
      </c>
      <c r="C127" s="1105" t="s">
        <v>133</v>
      </c>
      <c r="D127" s="1106"/>
      <c r="E127" s="217"/>
      <c r="F127" s="218"/>
      <c r="G127" s="218"/>
      <c r="H127" s="218"/>
      <c r="I127" s="218"/>
      <c r="J127" s="218"/>
      <c r="K127" s="218"/>
      <c r="L127" s="218"/>
      <c r="M127" s="218"/>
      <c r="N127" s="218"/>
      <c r="O127" s="209"/>
      <c r="P127" s="220">
        <v>0</v>
      </c>
      <c r="Q127" s="220">
        <v>0</v>
      </c>
      <c r="R127" s="207">
        <f t="shared" si="47"/>
        <v>0</v>
      </c>
      <c r="S127" s="208" t="str">
        <f t="shared" si="48"/>
        <v>NA</v>
      </c>
      <c r="U127" s="206">
        <v>0</v>
      </c>
      <c r="V127" s="206">
        <v>0</v>
      </c>
      <c r="W127" s="208" t="str">
        <f t="shared" si="49"/>
        <v>NA</v>
      </c>
      <c r="X127" s="1074"/>
      <c r="Y127" s="2"/>
    </row>
    <row r="128" spans="1:25" hidden="1" x14ac:dyDescent="0.35">
      <c r="A128" s="40">
        <v>158</v>
      </c>
      <c r="C128" s="1069" t="s">
        <v>73</v>
      </c>
      <c r="P128" s="50">
        <v>0</v>
      </c>
      <c r="Q128" s="50">
        <v>0</v>
      </c>
      <c r="R128" s="35">
        <f t="shared" si="47"/>
        <v>0</v>
      </c>
      <c r="S128" s="3" t="str">
        <f t="shared" si="48"/>
        <v>NA</v>
      </c>
      <c r="U128" s="48">
        <v>0</v>
      </c>
      <c r="V128" s="48">
        <v>0</v>
      </c>
      <c r="W128" s="3" t="str">
        <f t="shared" si="49"/>
        <v>NA</v>
      </c>
      <c r="X128" s="1085"/>
      <c r="Y128" s="2">
        <v>16</v>
      </c>
    </row>
    <row r="129" spans="1:25" s="2" customFormat="1" x14ac:dyDescent="0.35">
      <c r="A129" s="1"/>
      <c r="B129" s="1124" t="s">
        <v>74</v>
      </c>
      <c r="C129" s="1124"/>
      <c r="D129" s="1124"/>
      <c r="E129" s="64"/>
      <c r="F129" s="64"/>
      <c r="G129" s="64"/>
      <c r="H129" s="64"/>
      <c r="I129" s="64"/>
      <c r="J129" s="64"/>
      <c r="K129" s="64"/>
      <c r="L129" s="64"/>
      <c r="M129" s="64"/>
      <c r="N129" s="64"/>
      <c r="O129" s="27"/>
      <c r="P129" s="27">
        <f>SUM(P122:P128)</f>
        <v>0</v>
      </c>
      <c r="Q129" s="27">
        <f>SUM(Q122:Q128)</f>
        <v>0</v>
      </c>
      <c r="R129" s="27">
        <f>SUM(R122:R128)</f>
        <v>0</v>
      </c>
      <c r="S129" s="28" t="str">
        <f t="shared" si="48"/>
        <v>NA</v>
      </c>
      <c r="T129" s="562"/>
      <c r="U129" s="27">
        <f>SUM(U122:U128)</f>
        <v>80052.27</v>
      </c>
      <c r="V129" s="27">
        <f>SUM(V122:V128)</f>
        <v>0</v>
      </c>
      <c r="W129" s="696" t="s">
        <v>373</v>
      </c>
      <c r="X129" s="1087"/>
      <c r="Y129" s="1"/>
    </row>
    <row r="130" spans="1:25" ht="7.5" customHeight="1" x14ac:dyDescent="0.35">
      <c r="A130" s="40">
        <v>160</v>
      </c>
      <c r="D130" s="1069"/>
      <c r="E130" s="36"/>
      <c r="S130" s="4"/>
    </row>
    <row r="131" spans="1:25" ht="17" customHeight="1" x14ac:dyDescent="0.35">
      <c r="A131" s="40">
        <v>161</v>
      </c>
      <c r="B131" s="1125" t="s">
        <v>75</v>
      </c>
      <c r="C131" s="1126"/>
      <c r="D131" s="1126"/>
      <c r="E131" s="65"/>
      <c r="F131" s="65"/>
      <c r="G131" s="65"/>
      <c r="H131" s="65"/>
      <c r="I131" s="65"/>
      <c r="J131" s="65"/>
      <c r="K131" s="65"/>
      <c r="L131" s="65"/>
      <c r="M131" s="65"/>
      <c r="N131" s="65"/>
      <c r="O131" s="30"/>
      <c r="P131" s="29">
        <f>P26+P61+P103+P120+P129</f>
        <v>416000.17599999998</v>
      </c>
      <c r="Q131" s="29">
        <f>+Q61+Q103+Q120+Q129+Q26</f>
        <v>416000</v>
      </c>
      <c r="R131" s="29">
        <f>+R61+R103+R120+R129+R26</f>
        <v>0.17600000000038563</v>
      </c>
      <c r="S131" s="31">
        <f>IF(Q131=0,"NA",(+P131-Q131)/Q131)</f>
        <v>4.2307692302319294E-7</v>
      </c>
      <c r="U131" s="29">
        <f>+U61+U103+U120+U129+U26</f>
        <v>424137.04000000004</v>
      </c>
      <c r="V131" s="29">
        <f>+V61+V103+V120+V129+V26</f>
        <v>416000</v>
      </c>
      <c r="W131" s="31">
        <f>IF(V131=0,"NA",(+U131-V131)/V131)</f>
        <v>1.9560192307692396E-2</v>
      </c>
      <c r="X131" s="1088"/>
    </row>
    <row r="132" spans="1:25" x14ac:dyDescent="0.35">
      <c r="A132" s="40">
        <v>162</v>
      </c>
      <c r="B132" s="1125" t="s">
        <v>76</v>
      </c>
      <c r="C132" s="1126"/>
      <c r="D132" s="1126"/>
      <c r="E132" s="65"/>
      <c r="F132" s="65"/>
      <c r="G132" s="65"/>
      <c r="H132" s="65"/>
      <c r="I132" s="65"/>
      <c r="J132" s="65"/>
      <c r="K132" s="65"/>
      <c r="L132" s="65"/>
      <c r="M132" s="65"/>
      <c r="N132" s="65"/>
      <c r="O132" s="30"/>
      <c r="P132" s="29">
        <f>ROUND(+P14-P131,0)</f>
        <v>0</v>
      </c>
      <c r="Q132" s="29">
        <f>ROUND(+Q14-Q131,0)</f>
        <v>0</v>
      </c>
      <c r="R132" s="29">
        <f>ROUND(+R14-R131,0)</f>
        <v>0</v>
      </c>
      <c r="S132" s="31" t="str">
        <f>IF(Q132=0,"NA",(+P132-Q132)/Q132)</f>
        <v>NA</v>
      </c>
      <c r="U132" s="29">
        <f>+ROUND(U14-U131,0)</f>
        <v>0</v>
      </c>
      <c r="V132" s="29">
        <f>+V14-V131</f>
        <v>0</v>
      </c>
      <c r="W132" s="701" t="s">
        <v>373</v>
      </c>
      <c r="X132" s="1089"/>
    </row>
    <row r="133" spans="1:25" ht="10" customHeight="1" x14ac:dyDescent="0.35">
      <c r="S133" s="4"/>
    </row>
    <row r="134" spans="1:25" hidden="1" x14ac:dyDescent="0.35">
      <c r="B134" s="1127" t="s">
        <v>433</v>
      </c>
      <c r="C134" s="1128"/>
      <c r="D134" s="1128"/>
      <c r="E134" s="77"/>
      <c r="F134" s="77"/>
      <c r="G134" s="77"/>
      <c r="H134" s="77"/>
      <c r="I134" s="77"/>
      <c r="J134" s="77"/>
      <c r="K134" s="77"/>
      <c r="L134" s="77"/>
      <c r="M134" s="77"/>
      <c r="N134" s="77"/>
      <c r="O134" s="76"/>
      <c r="P134" s="78" t="e">
        <f>+P14-#REF!</f>
        <v>#REF!</v>
      </c>
      <c r="Q134" s="78" t="e">
        <f>+Q14-#REF!</f>
        <v>#REF!</v>
      </c>
      <c r="R134" s="79" t="e">
        <f>+P134-Q134</f>
        <v>#REF!</v>
      </c>
      <c r="S134" s="80" t="e">
        <f>IF(Q134=0,"NA",(+P134-Q134)/Q134)</f>
        <v>#REF!</v>
      </c>
      <c r="T134" s="70"/>
      <c r="U134" s="78" t="e">
        <f>+U14-#REF!</f>
        <v>#REF!</v>
      </c>
      <c r="V134" s="78" t="e">
        <f>+V14-#REF!</f>
        <v>#REF!</v>
      </c>
      <c r="W134" s="81" t="e">
        <f>IF(V134=0,"NA",(+U134-V134)/V134)</f>
        <v>#REF!</v>
      </c>
      <c r="X134" s="1090"/>
    </row>
    <row r="135" spans="1:25" hidden="1" x14ac:dyDescent="0.35">
      <c r="B135" s="1129" t="s">
        <v>115</v>
      </c>
      <c r="C135" s="1130"/>
      <c r="D135" s="1130"/>
      <c r="E135" s="71"/>
      <c r="F135" s="71"/>
      <c r="G135" s="71"/>
      <c r="H135" s="71"/>
      <c r="I135" s="71"/>
      <c r="J135" s="71"/>
      <c r="K135" s="71"/>
      <c r="L135" s="71"/>
      <c r="M135" s="71"/>
      <c r="N135" s="71"/>
      <c r="O135" s="70"/>
      <c r="P135" s="72">
        <f>+P131-P129</f>
        <v>416000.17599999998</v>
      </c>
      <c r="Q135" s="72">
        <f>+Q131-Q129</f>
        <v>416000</v>
      </c>
      <c r="R135" s="73">
        <f>+P135-Q135</f>
        <v>0.17599999997764826</v>
      </c>
      <c r="S135" s="74">
        <f>IF(Q135=0,"NA",(+P135-Q135)/Q135)</f>
        <v>4.2307692302319294E-7</v>
      </c>
      <c r="T135" s="70"/>
      <c r="U135" s="72">
        <f>+U131-U129</f>
        <v>344084.77</v>
      </c>
      <c r="V135" s="72">
        <f>+V131-V129</f>
        <v>416000</v>
      </c>
      <c r="W135" s="83">
        <f>IF(V135=0,"NA",(+U135-V135)/V135)</f>
        <v>-0.17287314903846149</v>
      </c>
      <c r="X135" s="1090"/>
    </row>
    <row r="136" spans="1:25" ht="15" hidden="1" thickBot="1" x14ac:dyDescent="0.4">
      <c r="B136" s="1131" t="s">
        <v>124</v>
      </c>
      <c r="C136" s="1132"/>
      <c r="D136" s="1132"/>
      <c r="E136" s="86"/>
      <c r="F136" s="86"/>
      <c r="G136" s="86"/>
      <c r="H136" s="87"/>
      <c r="I136" s="87"/>
      <c r="J136" s="87"/>
      <c r="K136" s="87"/>
      <c r="L136" s="87"/>
      <c r="M136" s="87"/>
      <c r="N136" s="87"/>
      <c r="O136" s="85"/>
      <c r="P136" s="88" t="e">
        <f>+P134-P135</f>
        <v>#REF!</v>
      </c>
      <c r="Q136" s="88" t="e">
        <f>+Q134-Q135</f>
        <v>#REF!</v>
      </c>
      <c r="R136" s="89" t="e">
        <f>+P136-Q136</f>
        <v>#REF!</v>
      </c>
      <c r="S136" s="90" t="e">
        <f>IF(Q136=0,"NA",(+P136-Q136)/Q136)</f>
        <v>#REF!</v>
      </c>
      <c r="T136" s="70"/>
      <c r="U136" s="88" t="e">
        <f>+U134-U135</f>
        <v>#REF!</v>
      </c>
      <c r="V136" s="88" t="e">
        <f>+V134-V135</f>
        <v>#REF!</v>
      </c>
      <c r="W136" s="697" t="s">
        <v>373</v>
      </c>
      <c r="X136" s="1091"/>
    </row>
    <row r="137" spans="1:25" ht="15" thickBot="1" x14ac:dyDescent="0.4">
      <c r="S137" s="4"/>
      <c r="U137" s="43"/>
      <c r="X137" s="1191"/>
    </row>
    <row r="138" spans="1:25" ht="29.5" thickBot="1" x14ac:dyDescent="0.4">
      <c r="B138" s="1133" t="s">
        <v>447</v>
      </c>
      <c r="C138" s="1134"/>
      <c r="D138" s="1092"/>
      <c r="E138" s="827"/>
      <c r="F138" s="827"/>
      <c r="G138" s="827"/>
      <c r="H138" s="828"/>
      <c r="I138" s="828"/>
      <c r="J138" s="828"/>
      <c r="K138" s="828"/>
      <c r="L138" s="828"/>
      <c r="M138" s="828"/>
      <c r="N138" s="828"/>
      <c r="O138" s="826"/>
      <c r="P138" s="829" t="s">
        <v>509</v>
      </c>
      <c r="Q138" s="829" t="s">
        <v>455</v>
      </c>
      <c r="R138" s="829" t="s">
        <v>9</v>
      </c>
      <c r="S138" s="829" t="s">
        <v>456</v>
      </c>
      <c r="T138" s="1144"/>
      <c r="U138" s="1247" t="s">
        <v>671</v>
      </c>
      <c r="V138" s="1247"/>
      <c r="W138" s="1247"/>
      <c r="X138" s="1247"/>
    </row>
    <row r="139" spans="1:25" x14ac:dyDescent="0.35">
      <c r="B139" s="1135" t="s">
        <v>448</v>
      </c>
      <c r="P139" s="48">
        <v>124.44</v>
      </c>
      <c r="Q139" s="48">
        <v>145.84</v>
      </c>
      <c r="R139" s="48">
        <v>0</v>
      </c>
      <c r="S139" s="1">
        <f t="shared" ref="S139:S157" si="50">+P139+Q139-R139</f>
        <v>270.27999999999997</v>
      </c>
      <c r="T139" s="1145"/>
      <c r="U139" s="1246"/>
      <c r="V139" s="1246"/>
      <c r="W139" s="1246"/>
      <c r="X139" s="1246"/>
    </row>
    <row r="140" spans="1:25" x14ac:dyDescent="0.35">
      <c r="B140" s="1136" t="s">
        <v>449</v>
      </c>
      <c r="C140" s="1093"/>
      <c r="D140" s="1093"/>
      <c r="E140" s="824"/>
      <c r="F140" s="823"/>
      <c r="G140" s="823"/>
      <c r="H140" s="823"/>
      <c r="I140" s="823"/>
      <c r="J140" s="823"/>
      <c r="K140" s="823"/>
      <c r="L140" s="823"/>
      <c r="M140" s="823"/>
      <c r="N140" s="823"/>
      <c r="O140" s="822"/>
      <c r="P140" s="825">
        <v>2720.46</v>
      </c>
      <c r="Q140" s="825">
        <v>750</v>
      </c>
      <c r="R140" s="825">
        <v>158.88999999999999</v>
      </c>
      <c r="S140" s="822">
        <f t="shared" si="50"/>
        <v>3311.57</v>
      </c>
      <c r="T140" s="1142"/>
      <c r="U140" s="1250"/>
      <c r="V140" s="1250"/>
      <c r="W140" s="1250"/>
      <c r="X140" s="1250"/>
    </row>
    <row r="141" spans="1:25" x14ac:dyDescent="0.35">
      <c r="B141" s="1135" t="s">
        <v>450</v>
      </c>
      <c r="P141" s="48">
        <v>72.78</v>
      </c>
      <c r="Q141" s="48">
        <v>2</v>
      </c>
      <c r="R141" s="48">
        <v>0</v>
      </c>
      <c r="S141" s="1">
        <f t="shared" si="50"/>
        <v>74.78</v>
      </c>
      <c r="U141" s="1242" t="s">
        <v>669</v>
      </c>
      <c r="V141" s="1242"/>
      <c r="W141" s="1242"/>
      <c r="X141" s="1242"/>
    </row>
    <row r="142" spans="1:25" x14ac:dyDescent="0.35">
      <c r="A142" s="1"/>
      <c r="B142" s="1136" t="s">
        <v>451</v>
      </c>
      <c r="C142" s="1093"/>
      <c r="D142" s="1093"/>
      <c r="E142" s="823"/>
      <c r="F142" s="823"/>
      <c r="G142" s="823"/>
      <c r="H142" s="823"/>
      <c r="I142" s="823"/>
      <c r="J142" s="823"/>
      <c r="K142" s="823"/>
      <c r="L142" s="823"/>
      <c r="M142" s="823"/>
      <c r="N142" s="823"/>
      <c r="O142" s="822"/>
      <c r="P142" s="825">
        <v>2608.6</v>
      </c>
      <c r="Q142" s="825">
        <v>0</v>
      </c>
      <c r="R142" s="825">
        <v>0</v>
      </c>
      <c r="S142" s="822">
        <f t="shared" si="50"/>
        <v>2608.6</v>
      </c>
      <c r="T142" s="1142"/>
      <c r="U142" s="1243"/>
      <c r="V142" s="1243"/>
      <c r="W142" s="1243"/>
      <c r="X142" s="1243"/>
      <c r="Y142" s="2"/>
    </row>
    <row r="143" spans="1:25" x14ac:dyDescent="0.35">
      <c r="A143" s="1"/>
      <c r="B143" s="1069" t="s">
        <v>452</v>
      </c>
      <c r="P143" s="48">
        <v>7986.97</v>
      </c>
      <c r="Q143" s="48">
        <v>8189.9</v>
      </c>
      <c r="R143" s="48">
        <v>4558.17</v>
      </c>
      <c r="S143" s="1">
        <f t="shared" si="50"/>
        <v>11618.699999999999</v>
      </c>
      <c r="U143" s="1242"/>
      <c r="V143" s="1242"/>
      <c r="W143" s="1242"/>
      <c r="X143" s="1242"/>
    </row>
    <row r="144" spans="1:25" x14ac:dyDescent="0.35">
      <c r="A144" s="1"/>
      <c r="B144" s="1093" t="s">
        <v>453</v>
      </c>
      <c r="C144" s="1093"/>
      <c r="D144" s="1093"/>
      <c r="E144" s="823"/>
      <c r="F144" s="823"/>
      <c r="G144" s="823"/>
      <c r="H144" s="823"/>
      <c r="I144" s="823"/>
      <c r="J144" s="823"/>
      <c r="K144" s="823"/>
      <c r="L144" s="823"/>
      <c r="M144" s="823"/>
      <c r="N144" s="823"/>
      <c r="O144" s="822"/>
      <c r="P144" s="825">
        <v>3819.8</v>
      </c>
      <c r="Q144" s="825">
        <v>0</v>
      </c>
      <c r="R144" s="825">
        <v>0</v>
      </c>
      <c r="S144" s="822">
        <f t="shared" si="50"/>
        <v>3819.8</v>
      </c>
      <c r="T144" s="1142"/>
      <c r="U144" s="1243"/>
      <c r="V144" s="1243"/>
      <c r="W144" s="1243"/>
      <c r="X144" s="1243"/>
    </row>
    <row r="145" spans="1:24" x14ac:dyDescent="0.35">
      <c r="B145" s="1069" t="s">
        <v>454</v>
      </c>
      <c r="P145" s="48">
        <v>1349.55</v>
      </c>
      <c r="Q145" s="48">
        <v>1110</v>
      </c>
      <c r="R145" s="48">
        <v>1751.53</v>
      </c>
      <c r="S145" s="1">
        <f t="shared" si="50"/>
        <v>708.02000000000021</v>
      </c>
      <c r="U145" s="1242"/>
      <c r="V145" s="1242"/>
      <c r="W145" s="1242"/>
      <c r="X145" s="1242"/>
    </row>
    <row r="146" spans="1:24" x14ac:dyDescent="0.35">
      <c r="A146" s="1"/>
      <c r="B146" s="1093" t="s">
        <v>113</v>
      </c>
      <c r="C146" s="1093"/>
      <c r="D146" s="1093"/>
      <c r="E146" s="823"/>
      <c r="F146" s="823"/>
      <c r="G146" s="823"/>
      <c r="H146" s="823"/>
      <c r="I146" s="823"/>
      <c r="J146" s="823"/>
      <c r="K146" s="823"/>
      <c r="L146" s="823"/>
      <c r="M146" s="823"/>
      <c r="N146" s="823"/>
      <c r="O146" s="822"/>
      <c r="P146" s="825">
        <v>17778.62</v>
      </c>
      <c r="Q146" s="825">
        <v>0</v>
      </c>
      <c r="R146" s="825">
        <v>0</v>
      </c>
      <c r="S146" s="822">
        <f t="shared" si="50"/>
        <v>17778.62</v>
      </c>
      <c r="T146" s="1142"/>
      <c r="U146" s="1243"/>
      <c r="V146" s="1243"/>
      <c r="W146" s="1243"/>
      <c r="X146" s="1243"/>
    </row>
    <row r="147" spans="1:24" x14ac:dyDescent="0.35">
      <c r="A147" s="1"/>
      <c r="B147" s="1069" t="s">
        <v>458</v>
      </c>
      <c r="P147" s="48">
        <v>850</v>
      </c>
      <c r="Q147" s="48">
        <v>0</v>
      </c>
      <c r="R147" s="48">
        <v>0</v>
      </c>
      <c r="S147" s="1">
        <f t="shared" si="50"/>
        <v>850</v>
      </c>
      <c r="U147" s="1242"/>
      <c r="V147" s="1242"/>
      <c r="W147" s="1242"/>
      <c r="X147" s="1242"/>
    </row>
    <row r="148" spans="1:24" x14ac:dyDescent="0.35">
      <c r="A148" s="1"/>
      <c r="B148" s="1093" t="s">
        <v>459</v>
      </c>
      <c r="C148" s="1093"/>
      <c r="D148" s="1093"/>
      <c r="E148" s="823"/>
      <c r="F148" s="823"/>
      <c r="G148" s="823"/>
      <c r="H148" s="823"/>
      <c r="I148" s="823"/>
      <c r="J148" s="823"/>
      <c r="K148" s="823"/>
      <c r="L148" s="823"/>
      <c r="M148" s="823"/>
      <c r="N148" s="823"/>
      <c r="O148" s="822"/>
      <c r="P148" s="825">
        <v>1518.92</v>
      </c>
      <c r="Q148" s="825">
        <v>0</v>
      </c>
      <c r="R148" s="825">
        <v>0</v>
      </c>
      <c r="S148" s="822">
        <f t="shared" si="50"/>
        <v>1518.92</v>
      </c>
      <c r="T148" s="1142"/>
      <c r="U148" s="1243" t="s">
        <v>670</v>
      </c>
      <c r="V148" s="1243"/>
      <c r="W148" s="1243"/>
      <c r="X148" s="1243"/>
    </row>
    <row r="149" spans="1:24" x14ac:dyDescent="0.35">
      <c r="A149" s="1"/>
      <c r="B149" s="1069" t="s">
        <v>460</v>
      </c>
      <c r="P149" s="48">
        <v>343.18</v>
      </c>
      <c r="Q149" s="48">
        <v>0</v>
      </c>
      <c r="R149" s="48">
        <v>0</v>
      </c>
      <c r="S149" s="1">
        <f t="shared" si="50"/>
        <v>343.18</v>
      </c>
      <c r="U149" s="1242"/>
      <c r="V149" s="1242"/>
      <c r="W149" s="1242"/>
      <c r="X149" s="1242"/>
    </row>
    <row r="150" spans="1:24" x14ac:dyDescent="0.35">
      <c r="A150" s="1"/>
      <c r="B150" s="1093" t="s">
        <v>461</v>
      </c>
      <c r="C150" s="1093"/>
      <c r="D150" s="1093"/>
      <c r="E150" s="823"/>
      <c r="F150" s="823"/>
      <c r="G150" s="823"/>
      <c r="H150" s="823"/>
      <c r="I150" s="823"/>
      <c r="J150" s="823"/>
      <c r="K150" s="823"/>
      <c r="L150" s="823"/>
      <c r="M150" s="823"/>
      <c r="N150" s="823"/>
      <c r="O150" s="822"/>
      <c r="P150" s="825">
        <v>4815.49</v>
      </c>
      <c r="Q150" s="825">
        <v>0</v>
      </c>
      <c r="R150" s="825">
        <v>161.44999999999999</v>
      </c>
      <c r="S150" s="822">
        <f t="shared" si="50"/>
        <v>4654.04</v>
      </c>
      <c r="T150" s="1142"/>
      <c r="U150" s="831"/>
      <c r="V150" s="1043"/>
      <c r="W150" s="1043"/>
      <c r="X150" s="1043"/>
    </row>
    <row r="151" spans="1:24" x14ac:dyDescent="0.35">
      <c r="A151" s="1"/>
      <c r="B151" s="1069" t="s">
        <v>462</v>
      </c>
      <c r="P151" s="48">
        <v>9290.89</v>
      </c>
      <c r="Q151" s="48">
        <v>0</v>
      </c>
      <c r="R151" s="48">
        <v>50</v>
      </c>
      <c r="S151" s="1">
        <f t="shared" si="50"/>
        <v>9240.89</v>
      </c>
      <c r="U151" s="1242"/>
      <c r="V151" s="1242"/>
      <c r="W151" s="1242"/>
      <c r="X151" s="1242"/>
    </row>
    <row r="152" spans="1:24" x14ac:dyDescent="0.35">
      <c r="A152" s="1"/>
      <c r="B152" s="1093" t="s">
        <v>229</v>
      </c>
      <c r="C152" s="1093"/>
      <c r="D152" s="1093"/>
      <c r="E152" s="823"/>
      <c r="F152" s="823"/>
      <c r="G152" s="823"/>
      <c r="H152" s="823"/>
      <c r="I152" s="823"/>
      <c r="J152" s="823"/>
      <c r="K152" s="823"/>
      <c r="L152" s="823"/>
      <c r="M152" s="823"/>
      <c r="N152" s="823"/>
      <c r="O152" s="822"/>
      <c r="P152" s="825">
        <v>4770.51</v>
      </c>
      <c r="Q152" s="825">
        <v>950</v>
      </c>
      <c r="R152" s="825">
        <v>527.5</v>
      </c>
      <c r="S152" s="822">
        <f t="shared" si="50"/>
        <v>5193.01</v>
      </c>
      <c r="T152" s="1142"/>
      <c r="U152" s="1243"/>
      <c r="V152" s="1243"/>
      <c r="W152" s="1243"/>
      <c r="X152" s="1243"/>
    </row>
    <row r="153" spans="1:24" x14ac:dyDescent="0.35">
      <c r="A153" s="1"/>
      <c r="B153" s="1069" t="s">
        <v>463</v>
      </c>
      <c r="P153" s="48">
        <v>1299.5999999999999</v>
      </c>
      <c r="Q153" s="48">
        <v>583</v>
      </c>
      <c r="R153" s="48">
        <v>493.22</v>
      </c>
      <c r="S153" s="1">
        <f t="shared" si="50"/>
        <v>1389.3799999999999</v>
      </c>
      <c r="U153" s="1242"/>
      <c r="V153" s="1242"/>
      <c r="W153" s="1242"/>
      <c r="X153" s="1242"/>
    </row>
    <row r="154" spans="1:24" x14ac:dyDescent="0.35">
      <c r="A154" s="1"/>
      <c r="B154" s="1093" t="s">
        <v>464</v>
      </c>
      <c r="C154" s="1093"/>
      <c r="D154" s="1093"/>
      <c r="E154" s="823"/>
      <c r="F154" s="823"/>
      <c r="G154" s="823"/>
      <c r="H154" s="823"/>
      <c r="I154" s="823"/>
      <c r="J154" s="823"/>
      <c r="K154" s="823"/>
      <c r="L154" s="823"/>
      <c r="M154" s="823"/>
      <c r="N154" s="823"/>
      <c r="O154" s="822"/>
      <c r="P154" s="825">
        <v>3890.53</v>
      </c>
      <c r="Q154" s="825">
        <v>0</v>
      </c>
      <c r="R154" s="825">
        <v>73.44</v>
      </c>
      <c r="S154" s="822">
        <f t="shared" si="50"/>
        <v>3817.09</v>
      </c>
      <c r="T154" s="1142"/>
      <c r="U154" s="1243"/>
      <c r="V154" s="1243"/>
      <c r="W154" s="1243"/>
      <c r="X154" s="1243"/>
    </row>
    <row r="155" spans="1:24" x14ac:dyDescent="0.35">
      <c r="A155" s="1"/>
      <c r="B155" s="1069" t="s">
        <v>465</v>
      </c>
      <c r="P155" s="48">
        <v>552</v>
      </c>
      <c r="Q155" s="48">
        <v>0</v>
      </c>
      <c r="R155" s="48">
        <v>0</v>
      </c>
      <c r="S155" s="1">
        <f t="shared" si="50"/>
        <v>552</v>
      </c>
      <c r="U155" s="1242"/>
      <c r="V155" s="1242"/>
      <c r="W155" s="1242"/>
      <c r="X155" s="1242"/>
    </row>
    <row r="156" spans="1:24" x14ac:dyDescent="0.35">
      <c r="A156" s="1"/>
      <c r="B156" s="1093" t="s">
        <v>466</v>
      </c>
      <c r="C156" s="1093"/>
      <c r="D156" s="1093"/>
      <c r="E156" s="823"/>
      <c r="F156" s="823"/>
      <c r="G156" s="823"/>
      <c r="H156" s="823"/>
      <c r="I156" s="823"/>
      <c r="J156" s="823"/>
      <c r="K156" s="823"/>
      <c r="L156" s="823"/>
      <c r="M156" s="823"/>
      <c r="N156" s="823"/>
      <c r="O156" s="822"/>
      <c r="P156" s="825">
        <v>5088.47</v>
      </c>
      <c r="Q156" s="825">
        <v>0</v>
      </c>
      <c r="R156" s="825">
        <v>0</v>
      </c>
      <c r="S156" s="822">
        <f t="shared" si="50"/>
        <v>5088.47</v>
      </c>
      <c r="T156" s="1142"/>
      <c r="U156" s="1243"/>
      <c r="V156" s="1243"/>
      <c r="W156" s="1243"/>
      <c r="X156" s="1243"/>
    </row>
    <row r="157" spans="1:24" ht="15" thickBot="1" x14ac:dyDescent="0.4">
      <c r="A157" s="1"/>
      <c r="B157" s="1097" t="s">
        <v>467</v>
      </c>
      <c r="C157" s="1097"/>
      <c r="F157" s="54"/>
      <c r="G157" s="54"/>
      <c r="H157" s="54"/>
      <c r="I157" s="54"/>
      <c r="J157" s="54"/>
      <c r="K157" s="54"/>
      <c r="L157" s="54"/>
      <c r="M157" s="54"/>
      <c r="N157" s="54"/>
      <c r="O157" s="46"/>
      <c r="P157" s="50">
        <v>1321.49</v>
      </c>
      <c r="Q157" s="50">
        <v>0</v>
      </c>
      <c r="R157" s="50">
        <v>52.64</v>
      </c>
      <c r="S157" s="46">
        <f t="shared" si="50"/>
        <v>1268.8499999999999</v>
      </c>
      <c r="T157" s="338"/>
      <c r="U157" s="1242"/>
      <c r="V157" s="1242"/>
      <c r="W157" s="1242"/>
      <c r="X157" s="1242"/>
    </row>
    <row r="158" spans="1:24" ht="15" thickBot="1" x14ac:dyDescent="0.4">
      <c r="B158" s="1137" t="s">
        <v>468</v>
      </c>
      <c r="C158" s="1094"/>
      <c r="D158" s="1094"/>
      <c r="E158" s="833"/>
      <c r="F158" s="833"/>
      <c r="G158" s="833"/>
      <c r="H158" s="833"/>
      <c r="I158" s="833"/>
      <c r="J158" s="833"/>
      <c r="K158" s="833"/>
      <c r="L158" s="833"/>
      <c r="M158" s="833"/>
      <c r="N158" s="833"/>
      <c r="O158" s="832"/>
      <c r="P158" s="834">
        <f>SUM(P139:P157)</f>
        <v>70202.3</v>
      </c>
      <c r="Q158" s="834">
        <f>SUM(Q139:Q157)</f>
        <v>11730.74</v>
      </c>
      <c r="R158" s="834">
        <f>SUM(R139:R157)</f>
        <v>7826.84</v>
      </c>
      <c r="S158" s="834">
        <f>SUM(S139:S157)</f>
        <v>74106.2</v>
      </c>
      <c r="T158" s="832"/>
      <c r="U158" s="1274"/>
      <c r="V158" s="1274"/>
      <c r="W158" s="1274"/>
      <c r="X158" s="1274"/>
    </row>
    <row r="159" spans="1:24" ht="15" thickBot="1" x14ac:dyDescent="0.4"/>
    <row r="160" spans="1:24" ht="29.5" thickBot="1" x14ac:dyDescent="0.4">
      <c r="B160" s="1133" t="s">
        <v>71</v>
      </c>
      <c r="C160" s="1134"/>
      <c r="D160" s="1092"/>
      <c r="E160" s="827"/>
      <c r="F160" s="827"/>
      <c r="G160" s="827"/>
      <c r="H160" s="828"/>
      <c r="I160" s="828"/>
      <c r="J160" s="828"/>
      <c r="K160" s="828"/>
      <c r="L160" s="828"/>
      <c r="M160" s="828"/>
      <c r="N160" s="828"/>
      <c r="O160" s="826"/>
      <c r="P160" s="829" t="s">
        <v>457</v>
      </c>
      <c r="Q160" s="829" t="s">
        <v>455</v>
      </c>
      <c r="R160" s="829" t="s">
        <v>9</v>
      </c>
      <c r="S160" s="829" t="s">
        <v>456</v>
      </c>
      <c r="T160" s="830"/>
      <c r="U160" s="1247"/>
      <c r="V160" s="1247"/>
      <c r="W160" s="1247"/>
      <c r="X160" s="1275"/>
    </row>
    <row r="161" spans="2:24" x14ac:dyDescent="0.35">
      <c r="B161" s="1148" t="s">
        <v>469</v>
      </c>
      <c r="C161" s="1101"/>
      <c r="D161" s="1102"/>
      <c r="E161" s="339"/>
      <c r="F161" s="340"/>
      <c r="G161" s="340"/>
      <c r="H161" s="340"/>
      <c r="I161" s="340"/>
      <c r="J161" s="340"/>
      <c r="K161" s="340"/>
      <c r="L161" s="340"/>
      <c r="M161" s="340"/>
      <c r="N161" s="340"/>
      <c r="O161" s="337"/>
      <c r="P161" s="341">
        <v>33675.99</v>
      </c>
      <c r="Q161" s="341">
        <v>1060</v>
      </c>
      <c r="R161" s="341">
        <v>239.69</v>
      </c>
      <c r="S161" s="337">
        <f t="shared" ref="S161:S166" si="51">+P161+Q161-R161</f>
        <v>34496.299999999996</v>
      </c>
      <c r="U161" s="1276" t="s">
        <v>676</v>
      </c>
      <c r="V161" s="1276"/>
      <c r="W161" s="1276"/>
      <c r="X161" s="1277"/>
    </row>
    <row r="162" spans="2:24" x14ac:dyDescent="0.35">
      <c r="B162" s="1149" t="s">
        <v>312</v>
      </c>
      <c r="C162" s="1150"/>
      <c r="D162" s="1150"/>
      <c r="E162" s="1151"/>
      <c r="F162" s="1143"/>
      <c r="G162" s="1143"/>
      <c r="H162" s="1143"/>
      <c r="I162" s="1143"/>
      <c r="J162" s="1143"/>
      <c r="K162" s="1143"/>
      <c r="L162" s="1143"/>
      <c r="M162" s="1143"/>
      <c r="N162" s="1143"/>
      <c r="O162" s="1142"/>
      <c r="P162" s="1152">
        <v>101904.66</v>
      </c>
      <c r="Q162" s="1152">
        <v>0</v>
      </c>
      <c r="R162" s="1152">
        <v>0</v>
      </c>
      <c r="S162" s="1142">
        <f t="shared" si="51"/>
        <v>101904.66</v>
      </c>
      <c r="T162" s="1142"/>
      <c r="U162" s="1153"/>
      <c r="V162" s="1153"/>
      <c r="W162" s="1153"/>
      <c r="X162" s="1154"/>
    </row>
    <row r="163" spans="2:24" ht="14.5" customHeight="1" x14ac:dyDescent="0.35">
      <c r="B163" s="1148" t="s">
        <v>470</v>
      </c>
      <c r="C163" s="1101"/>
      <c r="D163" s="1102"/>
      <c r="E163" s="339"/>
      <c r="F163" s="340"/>
      <c r="G163" s="340"/>
      <c r="H163" s="340"/>
      <c r="I163" s="340"/>
      <c r="J163" s="340"/>
      <c r="K163" s="340"/>
      <c r="L163" s="340"/>
      <c r="M163" s="340"/>
      <c r="N163" s="340"/>
      <c r="O163" s="337"/>
      <c r="P163" s="341">
        <v>236749.2</v>
      </c>
      <c r="Q163" s="341">
        <v>14137.5</v>
      </c>
      <c r="R163" s="341">
        <v>13100</v>
      </c>
      <c r="S163" s="337">
        <f t="shared" si="51"/>
        <v>237786.7</v>
      </c>
      <c r="U163" s="1272" t="s">
        <v>672</v>
      </c>
      <c r="V163" s="1272"/>
      <c r="W163" s="1272"/>
      <c r="X163" s="1273"/>
    </row>
    <row r="164" spans="2:24" ht="14.5" customHeight="1" x14ac:dyDescent="0.35">
      <c r="B164" s="1148" t="s">
        <v>673</v>
      </c>
      <c r="C164" s="1101"/>
      <c r="D164" s="1102"/>
      <c r="E164" s="339"/>
      <c r="F164" s="340"/>
      <c r="G164" s="340"/>
      <c r="H164" s="340"/>
      <c r="I164" s="340"/>
      <c r="J164" s="340"/>
      <c r="K164" s="340"/>
      <c r="L164" s="340"/>
      <c r="M164" s="340"/>
      <c r="N164" s="340"/>
      <c r="O164" s="337"/>
      <c r="P164" s="341">
        <v>15000</v>
      </c>
      <c r="Q164" s="341">
        <v>0</v>
      </c>
      <c r="R164" s="341">
        <v>0</v>
      </c>
      <c r="S164" s="337">
        <f t="shared" si="51"/>
        <v>15000</v>
      </c>
      <c r="U164" s="1272" t="s">
        <v>674</v>
      </c>
      <c r="V164" s="1272"/>
      <c r="W164" s="1272"/>
      <c r="X164" s="1273"/>
    </row>
    <row r="165" spans="2:24" ht="14.5" customHeight="1" x14ac:dyDescent="0.35">
      <c r="B165" s="1148" t="s">
        <v>313</v>
      </c>
      <c r="C165" s="1101"/>
      <c r="D165" s="1102"/>
      <c r="E165" s="339"/>
      <c r="F165" s="340"/>
      <c r="G165" s="340"/>
      <c r="H165" s="340"/>
      <c r="I165" s="340"/>
      <c r="J165" s="340"/>
      <c r="K165" s="340"/>
      <c r="L165" s="340"/>
      <c r="M165" s="340"/>
      <c r="N165" s="340"/>
      <c r="O165" s="337"/>
      <c r="P165" s="341">
        <v>53860</v>
      </c>
      <c r="Q165" s="341">
        <v>0</v>
      </c>
      <c r="R165" s="341">
        <v>0</v>
      </c>
      <c r="S165" s="337">
        <f t="shared" si="51"/>
        <v>53860</v>
      </c>
      <c r="U165" s="1272"/>
      <c r="V165" s="1272"/>
      <c r="W165" s="1272"/>
      <c r="X165" s="1273"/>
    </row>
    <row r="166" spans="2:24" ht="15" thickBot="1" x14ac:dyDescent="0.4">
      <c r="B166" s="1149" t="s">
        <v>675</v>
      </c>
      <c r="C166" s="1150"/>
      <c r="D166" s="1150"/>
      <c r="E166" s="1151"/>
      <c r="F166" s="1143"/>
      <c r="G166" s="1143"/>
      <c r="H166" s="1143"/>
      <c r="I166" s="1143"/>
      <c r="J166" s="1143"/>
      <c r="K166" s="1143"/>
      <c r="L166" s="1143"/>
      <c r="M166" s="1143"/>
      <c r="N166" s="1143"/>
      <c r="O166" s="1142"/>
      <c r="P166" s="1152">
        <v>40000</v>
      </c>
      <c r="Q166" s="1152">
        <v>0</v>
      </c>
      <c r="R166" s="1152">
        <v>22.04</v>
      </c>
      <c r="S166" s="1142">
        <f t="shared" si="51"/>
        <v>39977.96</v>
      </c>
      <c r="T166" s="1142"/>
      <c r="U166" s="1153"/>
      <c r="V166" s="1153"/>
      <c r="W166" s="1153"/>
      <c r="X166" s="1154"/>
    </row>
    <row r="167" spans="2:24" ht="15" thickBot="1" x14ac:dyDescent="0.4">
      <c r="B167" s="1137" t="s">
        <v>74</v>
      </c>
      <c r="C167" s="1094"/>
      <c r="D167" s="1094"/>
      <c r="E167" s="833"/>
      <c r="F167" s="833"/>
      <c r="G167" s="833"/>
      <c r="H167" s="833"/>
      <c r="I167" s="833"/>
      <c r="J167" s="833"/>
      <c r="K167" s="833"/>
      <c r="L167" s="833"/>
      <c r="M167" s="833"/>
      <c r="N167" s="833"/>
      <c r="O167" s="832"/>
      <c r="P167" s="834">
        <f>SUM(P161:P166)</f>
        <v>481189.85</v>
      </c>
      <c r="Q167" s="834">
        <f>SUM(Q161:Q166)</f>
        <v>15197.5</v>
      </c>
      <c r="R167" s="834">
        <f>SUM(R161:R166)</f>
        <v>13361.730000000001</v>
      </c>
      <c r="S167" s="834">
        <f>SUM(S161:S166)</f>
        <v>483025.62000000005</v>
      </c>
      <c r="T167" s="834"/>
      <c r="U167" s="1146"/>
      <c r="V167" s="1146"/>
      <c r="W167" s="1146"/>
      <c r="X167" s="1147"/>
    </row>
  </sheetData>
  <mergeCells count="45">
    <mergeCell ref="U163:X163"/>
    <mergeCell ref="U164:X164"/>
    <mergeCell ref="U165:X165"/>
    <mergeCell ref="U157:X157"/>
    <mergeCell ref="U158:X158"/>
    <mergeCell ref="U160:X160"/>
    <mergeCell ref="U161:X161"/>
    <mergeCell ref="U152:X152"/>
    <mergeCell ref="U153:X153"/>
    <mergeCell ref="U154:X154"/>
    <mergeCell ref="U155:X155"/>
    <mergeCell ref="U156:X156"/>
    <mergeCell ref="B1:X1"/>
    <mergeCell ref="O62:O63"/>
    <mergeCell ref="P2:S2"/>
    <mergeCell ref="U2:W2"/>
    <mergeCell ref="R3:S3"/>
    <mergeCell ref="U3:U4"/>
    <mergeCell ref="V3:V4"/>
    <mergeCell ref="W3:W4"/>
    <mergeCell ref="P3:P4"/>
    <mergeCell ref="Q3:Q4"/>
    <mergeCell ref="E60:H60"/>
    <mergeCell ref="E58:M58"/>
    <mergeCell ref="G63:H63"/>
    <mergeCell ref="C26:D26"/>
    <mergeCell ref="G62:H62"/>
    <mergeCell ref="I60:L60"/>
    <mergeCell ref="C90:D90"/>
    <mergeCell ref="G73:H73"/>
    <mergeCell ref="U140:X140"/>
    <mergeCell ref="U141:X141"/>
    <mergeCell ref="U142:X142"/>
    <mergeCell ref="U144:X144"/>
    <mergeCell ref="U143:X143"/>
    <mergeCell ref="C117:D117"/>
    <mergeCell ref="C98:D98"/>
    <mergeCell ref="U139:X139"/>
    <mergeCell ref="U138:X138"/>
    <mergeCell ref="U151:X151"/>
    <mergeCell ref="U145:X145"/>
    <mergeCell ref="U146:X146"/>
    <mergeCell ref="U147:X147"/>
    <mergeCell ref="U148:X148"/>
    <mergeCell ref="U149:X149"/>
  </mergeCells>
  <pageMargins left="0" right="0" top="0.25" bottom="0.5" header="0.3" footer="0.3"/>
  <pageSetup scale="73" fitToHeight="0" orientation="landscape" r:id="rId1"/>
  <headerFooter>
    <oddFooter>&amp;C&amp;P of &amp;N&amp;R&amp;D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02" customWidth="1"/>
    <col min="2" max="2" width="33.26953125" style="302" customWidth="1"/>
    <col min="3" max="3" width="8.81640625" style="326" customWidth="1"/>
    <col min="4" max="4" width="15.7265625" style="302" customWidth="1"/>
    <col min="5" max="5" width="10.1796875" style="302" customWidth="1"/>
    <col min="6" max="6" width="13.90625" style="302" customWidth="1"/>
    <col min="7" max="7" width="11.26953125" style="326" customWidth="1"/>
    <col min="8" max="8" width="11.36328125" style="302" customWidth="1"/>
    <col min="9" max="9" width="50.90625" style="302" customWidth="1"/>
    <col min="10" max="10" width="8.7265625" style="302"/>
    <col min="11" max="11" width="9.453125" style="302" bestFit="1" customWidth="1"/>
    <col min="12" max="16384" width="8.7265625" style="302"/>
  </cols>
  <sheetData>
    <row r="1" spans="1:9" ht="20" x14ac:dyDescent="0.35">
      <c r="A1" s="1283" t="s">
        <v>80</v>
      </c>
      <c r="B1" s="1283"/>
      <c r="C1" s="1283"/>
      <c r="D1" s="1283"/>
      <c r="E1" s="1283"/>
      <c r="F1" s="1283"/>
      <c r="G1" s="1283"/>
      <c r="H1" s="1283"/>
      <c r="I1" s="1283"/>
    </row>
    <row r="2" spans="1:9" ht="18.5" customHeight="1" x14ac:dyDescent="0.35">
      <c r="A2" s="1284" t="s">
        <v>343</v>
      </c>
      <c r="B2" s="1284"/>
      <c r="C2" s="1284"/>
      <c r="D2" s="1284"/>
      <c r="E2" s="1284"/>
      <c r="F2" s="1284"/>
      <c r="G2" s="1284"/>
      <c r="H2" s="1284"/>
      <c r="I2" s="1284"/>
    </row>
    <row r="3" spans="1:9" ht="18.5" customHeight="1" thickBot="1" x14ac:dyDescent="0.4">
      <c r="A3" s="620"/>
      <c r="B3" s="620"/>
      <c r="C3" s="620"/>
      <c r="D3" s="620"/>
      <c r="E3" s="620"/>
      <c r="F3" s="620"/>
      <c r="G3" s="1284"/>
      <c r="H3" s="1284"/>
      <c r="I3" s="620"/>
    </row>
    <row r="4" spans="1:9" ht="18.5" customHeight="1" x14ac:dyDescent="0.35">
      <c r="A4" s="1285" t="s">
        <v>342</v>
      </c>
      <c r="B4" s="1286"/>
      <c r="C4" s="1286"/>
      <c r="D4" s="1286"/>
      <c r="E4" s="662"/>
      <c r="F4" s="1287" t="str">
        <f>+'New Year-Full Year'!P3&amp;" Proposed"</f>
        <v>2024 Budget Proposed</v>
      </c>
      <c r="G4" s="1287" t="str">
        <f>+'New Year-Full Year'!P3&amp;" Current"</f>
        <v>2024 Budget Current</v>
      </c>
      <c r="H4" s="1287" t="str">
        <f>+'New Year-Full Year'!Q3</f>
        <v>2023 Budget</v>
      </c>
      <c r="I4" s="663"/>
    </row>
    <row r="5" spans="1:9" ht="38" customHeight="1" thickBot="1" x14ac:dyDescent="0.4">
      <c r="A5" s="664"/>
      <c r="B5" s="665" t="s">
        <v>346</v>
      </c>
      <c r="C5" s="666" t="s">
        <v>351</v>
      </c>
      <c r="D5" s="667" t="s">
        <v>347</v>
      </c>
      <c r="E5" s="667"/>
      <c r="F5" s="1288"/>
      <c r="G5" s="1288"/>
      <c r="H5" s="1288"/>
      <c r="I5" s="668" t="s">
        <v>359</v>
      </c>
    </row>
    <row r="6" spans="1:9" ht="18.5" customHeight="1" x14ac:dyDescent="0.35">
      <c r="A6" s="671" t="s">
        <v>293</v>
      </c>
      <c r="B6" s="672" t="s">
        <v>348</v>
      </c>
      <c r="C6" s="673" t="s">
        <v>352</v>
      </c>
      <c r="D6" s="1294" t="s">
        <v>101</v>
      </c>
      <c r="E6" s="1294"/>
      <c r="F6" s="649">
        <f>ROUND(+H6*1.01,0)-13</f>
        <v>17459</v>
      </c>
      <c r="G6" s="674">
        <f>+'New Year-Full Year'!P86</f>
        <v>17818</v>
      </c>
      <c r="H6" s="674">
        <f>+'New Year-Full Year'!Q86</f>
        <v>17299</v>
      </c>
      <c r="I6" s="1278" t="s">
        <v>371</v>
      </c>
    </row>
    <row r="7" spans="1:9" ht="18.5" customHeight="1" x14ac:dyDescent="0.35">
      <c r="A7" s="675"/>
      <c r="B7" s="651" t="s">
        <v>344</v>
      </c>
      <c r="C7" s="651"/>
      <c r="D7" s="1290"/>
      <c r="E7" s="1290"/>
      <c r="F7" s="652">
        <f>+F6-$H6</f>
        <v>160</v>
      </c>
      <c r="G7" s="653">
        <f>+G6-$H6</f>
        <v>519</v>
      </c>
      <c r="H7" s="651"/>
      <c r="I7" s="1279"/>
    </row>
    <row r="8" spans="1:9" ht="16" thickBot="1" x14ac:dyDescent="0.4">
      <c r="A8" s="315"/>
      <c r="B8" s="307" t="s">
        <v>350</v>
      </c>
      <c r="C8" s="654"/>
      <c r="D8" s="1291"/>
      <c r="E8" s="1291"/>
      <c r="F8" s="694">
        <f>+F7/$H6</f>
        <v>9.2490895427481349E-3</v>
      </c>
      <c r="G8" s="655">
        <f>+G7/$H6</f>
        <v>3.0001734204289265E-2</v>
      </c>
      <c r="H8" s="307"/>
      <c r="I8" s="1280"/>
    </row>
    <row r="9" spans="1:9" ht="18.5" customHeight="1" x14ac:dyDescent="0.35">
      <c r="A9" s="676" t="s">
        <v>294</v>
      </c>
      <c r="B9" s="648" t="s">
        <v>349</v>
      </c>
      <c r="C9" s="647" t="s">
        <v>352</v>
      </c>
      <c r="D9" s="1289" t="s">
        <v>366</v>
      </c>
      <c r="E9" s="1289"/>
      <c r="F9" s="649">
        <f>ROUND(+H9*1.01,0)</f>
        <v>3296</v>
      </c>
      <c r="G9" s="650">
        <f>+'New Year-Full Year'!P87</f>
        <v>3361</v>
      </c>
      <c r="H9" s="650">
        <f>+'New Year-Full Year'!Q87</f>
        <v>3263</v>
      </c>
      <c r="I9" s="1278" t="s">
        <v>371</v>
      </c>
    </row>
    <row r="10" spans="1:9" ht="18.5" customHeight="1" x14ac:dyDescent="0.35">
      <c r="A10" s="675"/>
      <c r="B10" s="651" t="s">
        <v>344</v>
      </c>
      <c r="C10" s="651"/>
      <c r="D10" s="1290"/>
      <c r="E10" s="1290"/>
      <c r="F10" s="652">
        <f>+F9-$H9</f>
        <v>33</v>
      </c>
      <c r="G10" s="653">
        <f>+G9-$H9</f>
        <v>98</v>
      </c>
      <c r="H10" s="651"/>
      <c r="I10" s="1279"/>
    </row>
    <row r="11" spans="1:9" x14ac:dyDescent="0.35">
      <c r="A11" s="315"/>
      <c r="B11" s="307" t="s">
        <v>350</v>
      </c>
      <c r="C11" s="654"/>
      <c r="D11" s="1291"/>
      <c r="E11" s="1291"/>
      <c r="F11" s="655">
        <f>+F10/$H9</f>
        <v>1.0113392583512106E-2</v>
      </c>
      <c r="G11" s="655">
        <f>+G10/$H9</f>
        <v>3.0033711308611707E-2</v>
      </c>
      <c r="H11" s="307"/>
      <c r="I11" s="1280"/>
    </row>
    <row r="12" spans="1:9" ht="18.5" customHeight="1" x14ac:dyDescent="0.35">
      <c r="A12" s="676" t="s">
        <v>295</v>
      </c>
      <c r="B12" s="648" t="s">
        <v>246</v>
      </c>
      <c r="C12" s="647" t="s">
        <v>352</v>
      </c>
      <c r="D12" s="1289" t="s">
        <v>43</v>
      </c>
      <c r="E12" s="1289"/>
      <c r="F12" s="649">
        <v>7634</v>
      </c>
      <c r="G12" s="650" t="e">
        <f>+'New Year-Full Year'!#REF!</f>
        <v>#REF!</v>
      </c>
      <c r="H12" s="650" t="e">
        <f>+'New Year-Full Year'!#REF!</f>
        <v>#REF!</v>
      </c>
      <c r="I12" s="1281" t="s">
        <v>360</v>
      </c>
    </row>
    <row r="13" spans="1:9" ht="18.5" customHeight="1" x14ac:dyDescent="0.35">
      <c r="A13" s="675"/>
      <c r="B13" s="651" t="s">
        <v>344</v>
      </c>
      <c r="C13" s="651"/>
      <c r="D13" s="1290"/>
      <c r="E13" s="1290"/>
      <c r="F13" s="652" t="e">
        <f>+F12-$H12</f>
        <v>#REF!</v>
      </c>
      <c r="G13" s="653" t="e">
        <f>+G12-$H12</f>
        <v>#REF!</v>
      </c>
      <c r="H13" s="651"/>
      <c r="I13" s="1279"/>
    </row>
    <row r="14" spans="1:9" ht="16" thickBot="1" x14ac:dyDescent="0.4">
      <c r="A14" s="310"/>
      <c r="B14" s="311" t="s">
        <v>350</v>
      </c>
      <c r="C14" s="677"/>
      <c r="D14" s="1295"/>
      <c r="E14" s="1295"/>
      <c r="F14" s="678" t="e">
        <f>+F13/$H12</f>
        <v>#REF!</v>
      </c>
      <c r="G14" s="678" t="e">
        <f>+G13/$H12</f>
        <v>#REF!</v>
      </c>
      <c r="H14" s="311"/>
      <c r="I14" s="1282"/>
    </row>
    <row r="15" spans="1:9" ht="16" thickBot="1" x14ac:dyDescent="0.4"/>
    <row r="16" spans="1:9" ht="18.5" customHeight="1" x14ac:dyDescent="0.35">
      <c r="A16" s="1285" t="s">
        <v>354</v>
      </c>
      <c r="B16" s="1286"/>
      <c r="C16" s="1286"/>
      <c r="D16" s="1286"/>
      <c r="E16" s="662"/>
      <c r="F16" s="1287" t="str">
        <f>+F$4</f>
        <v>2024 Budget Proposed</v>
      </c>
      <c r="G16" s="1287" t="str">
        <f>+G$4</f>
        <v>2024 Budget Current</v>
      </c>
      <c r="H16" s="1287" t="str">
        <f>+H$4</f>
        <v>2023 Budget</v>
      </c>
      <c r="I16" s="663"/>
    </row>
    <row r="17" spans="1:11" ht="38" customHeight="1" thickBot="1" x14ac:dyDescent="0.4">
      <c r="A17" s="664"/>
      <c r="B17" s="665" t="s">
        <v>346</v>
      </c>
      <c r="C17" s="666" t="s">
        <v>355</v>
      </c>
      <c r="D17" s="1288" t="s">
        <v>356</v>
      </c>
      <c r="E17" s="1288"/>
      <c r="F17" s="1288"/>
      <c r="G17" s="1288"/>
      <c r="H17" s="1288"/>
      <c r="I17" s="668" t="str">
        <f>+I$5</f>
        <v>Notes / Rational for change</v>
      </c>
    </row>
    <row r="18" spans="1:11" x14ac:dyDescent="0.35">
      <c r="A18" s="675" t="s">
        <v>293</v>
      </c>
      <c r="B18" s="619" t="s">
        <v>353</v>
      </c>
      <c r="C18" s="669">
        <v>25</v>
      </c>
      <c r="D18" s="660" t="s">
        <v>357</v>
      </c>
      <c r="E18" s="680">
        <v>13.78</v>
      </c>
      <c r="F18" s="670">
        <f>+$C18*$E18*52</f>
        <v>17914</v>
      </c>
      <c r="G18" s="670">
        <f>+$C18*$E19*52</f>
        <v>17914</v>
      </c>
      <c r="H18" s="670">
        <f>+$C18*$E20*52</f>
        <v>17732</v>
      </c>
      <c r="I18" s="1279" t="s">
        <v>372</v>
      </c>
      <c r="K18" s="306"/>
    </row>
    <row r="19" spans="1:11" x14ac:dyDescent="0.35">
      <c r="A19" s="675"/>
      <c r="B19" s="651" t="s">
        <v>344</v>
      </c>
      <c r="C19" s="656"/>
      <c r="D19" s="660" t="s">
        <v>358</v>
      </c>
      <c r="E19" s="680">
        <v>13.78</v>
      </c>
      <c r="F19" s="652">
        <f>+F18-$H18</f>
        <v>182</v>
      </c>
      <c r="G19" s="653">
        <f>+G18-$H18</f>
        <v>182</v>
      </c>
      <c r="H19" s="305"/>
      <c r="I19" s="1279"/>
    </row>
    <row r="20" spans="1:11" x14ac:dyDescent="0.35">
      <c r="A20" s="315"/>
      <c r="B20" s="307" t="s">
        <v>350</v>
      </c>
      <c r="C20" s="654"/>
      <c r="D20" s="661" t="s">
        <v>224</v>
      </c>
      <c r="E20" s="681">
        <v>13.64</v>
      </c>
      <c r="F20" s="655">
        <f>+F19/$H18</f>
        <v>1.0263929618768328E-2</v>
      </c>
      <c r="G20" s="655">
        <f>+G19/$H18</f>
        <v>1.0263929618768328E-2</v>
      </c>
      <c r="H20" s="307"/>
      <c r="I20" s="1280"/>
    </row>
    <row r="21" spans="1:11" x14ac:dyDescent="0.35">
      <c r="A21" s="676" t="s">
        <v>294</v>
      </c>
      <c r="B21" s="648" t="s">
        <v>361</v>
      </c>
      <c r="C21" s="658">
        <v>20</v>
      </c>
      <c r="D21" s="659" t="s">
        <v>357</v>
      </c>
      <c r="E21" s="682">
        <v>11.57</v>
      </c>
      <c r="F21" s="670">
        <f>+$C21*$E21*52</f>
        <v>12032.800000000001</v>
      </c>
      <c r="G21" s="670">
        <f>+$C21*$E22*52</f>
        <v>12157.599999999999</v>
      </c>
      <c r="H21" s="670">
        <f>+$C21*$E23*52</f>
        <v>12032.800000000001</v>
      </c>
      <c r="I21" s="1281" t="s">
        <v>363</v>
      </c>
    </row>
    <row r="22" spans="1:11" x14ac:dyDescent="0.35">
      <c r="A22" s="675"/>
      <c r="B22" s="651" t="s">
        <v>344</v>
      </c>
      <c r="C22" s="656"/>
      <c r="D22" s="660" t="s">
        <v>358</v>
      </c>
      <c r="E22" s="680">
        <v>11.69</v>
      </c>
      <c r="F22" s="652">
        <f>+F21-$H21</f>
        <v>0</v>
      </c>
      <c r="G22" s="653">
        <f>+G21-$H21</f>
        <v>124.79999999999745</v>
      </c>
      <c r="H22" s="305"/>
      <c r="I22" s="1279"/>
    </row>
    <row r="23" spans="1:11" x14ac:dyDescent="0.35">
      <c r="A23" s="315"/>
      <c r="B23" s="307" t="s">
        <v>350</v>
      </c>
      <c r="C23" s="654"/>
      <c r="D23" s="661" t="s">
        <v>224</v>
      </c>
      <c r="E23" s="681">
        <v>11.57</v>
      </c>
      <c r="F23" s="655">
        <f>+F22/$H21</f>
        <v>0</v>
      </c>
      <c r="G23" s="655">
        <f>+G22/$H21</f>
        <v>1.0371650821088811E-2</v>
      </c>
      <c r="H23" s="307"/>
      <c r="I23" s="1280"/>
    </row>
    <row r="24" spans="1:11" ht="15.5" customHeight="1" x14ac:dyDescent="0.35">
      <c r="A24" s="676" t="s">
        <v>295</v>
      </c>
      <c r="B24" s="648" t="s">
        <v>362</v>
      </c>
      <c r="C24" s="658">
        <v>7.5</v>
      </c>
      <c r="D24" s="659" t="s">
        <v>357</v>
      </c>
      <c r="E24" s="682">
        <v>11.22</v>
      </c>
      <c r="F24" s="670">
        <f>+$C24*$E24*52</f>
        <v>4375.8</v>
      </c>
      <c r="G24" s="670">
        <f>+$C24*$E25*52</f>
        <v>4418.7</v>
      </c>
      <c r="H24" s="670">
        <f>+$C24*$E26*52</f>
        <v>4375.8</v>
      </c>
      <c r="I24" s="1281" t="s">
        <v>363</v>
      </c>
    </row>
    <row r="25" spans="1:11" x14ac:dyDescent="0.35">
      <c r="A25" s="675"/>
      <c r="B25" s="651" t="s">
        <v>344</v>
      </c>
      <c r="C25" s="656"/>
      <c r="D25" s="660" t="s">
        <v>358</v>
      </c>
      <c r="E25" s="680">
        <v>11.33</v>
      </c>
      <c r="F25" s="652">
        <f>+F24-$H24</f>
        <v>0</v>
      </c>
      <c r="G25" s="653">
        <f>+G24-$H24</f>
        <v>42.899999999999636</v>
      </c>
      <c r="H25" s="305"/>
      <c r="I25" s="1279"/>
    </row>
    <row r="26" spans="1:11" x14ac:dyDescent="0.35">
      <c r="A26" s="315"/>
      <c r="B26" s="307" t="s">
        <v>350</v>
      </c>
      <c r="C26" s="654"/>
      <c r="D26" s="661" t="s">
        <v>224</v>
      </c>
      <c r="E26" s="681">
        <v>11.22</v>
      </c>
      <c r="F26" s="655">
        <f>+F25/$H24</f>
        <v>0</v>
      </c>
      <c r="G26" s="655">
        <f>+G25/$H24</f>
        <v>9.8039215686273676E-3</v>
      </c>
      <c r="H26" s="307"/>
      <c r="I26" s="1280"/>
    </row>
    <row r="27" spans="1:11" ht="18.5" customHeight="1" x14ac:dyDescent="0.35">
      <c r="A27" s="676" t="s">
        <v>298</v>
      </c>
      <c r="B27" s="648" t="s">
        <v>345</v>
      </c>
      <c r="C27" s="658">
        <v>40</v>
      </c>
      <c r="D27" s="659" t="s">
        <v>357</v>
      </c>
      <c r="E27" s="682">
        <f>ROUND(+E29*1.02,2)</f>
        <v>17.690000000000001</v>
      </c>
      <c r="F27" s="670">
        <f>+$C27*$E27*52</f>
        <v>36795.200000000004</v>
      </c>
      <c r="G27" s="670">
        <f>+$C27*$E28*52</f>
        <v>36420.800000000003</v>
      </c>
      <c r="H27" s="670">
        <f>+$C27*$E29*52</f>
        <v>36067.200000000004</v>
      </c>
      <c r="I27" s="1281" t="s">
        <v>365</v>
      </c>
    </row>
    <row r="28" spans="1:11" ht="18.5" customHeight="1" x14ac:dyDescent="0.35">
      <c r="A28" s="675"/>
      <c r="B28" s="651" t="s">
        <v>344</v>
      </c>
      <c r="C28" s="656"/>
      <c r="D28" s="660" t="s">
        <v>358</v>
      </c>
      <c r="E28" s="680">
        <v>17.510000000000002</v>
      </c>
      <c r="F28" s="652">
        <f>+F27-$H27</f>
        <v>728</v>
      </c>
      <c r="G28" s="653">
        <f>+G27-$H27</f>
        <v>353.59999999999854</v>
      </c>
      <c r="H28" s="305"/>
      <c r="I28" s="1279"/>
    </row>
    <row r="29" spans="1:11" x14ac:dyDescent="0.35">
      <c r="A29" s="315"/>
      <c r="B29" s="307" t="s">
        <v>350</v>
      </c>
      <c r="C29" s="654"/>
      <c r="D29" s="661" t="s">
        <v>224</v>
      </c>
      <c r="E29" s="681">
        <v>17.34</v>
      </c>
      <c r="F29" s="655">
        <f>+F28/$H27</f>
        <v>2.0184544405997689E-2</v>
      </c>
      <c r="G29" s="655">
        <f>+G28/$H27</f>
        <v>9.8039215686274092E-3</v>
      </c>
      <c r="H29" s="307"/>
      <c r="I29" s="1280"/>
    </row>
    <row r="30" spans="1:11" ht="18.5" customHeight="1" x14ac:dyDescent="0.35">
      <c r="A30" s="675" t="s">
        <v>299</v>
      </c>
      <c r="B30" s="619" t="s">
        <v>364</v>
      </c>
      <c r="C30" s="669">
        <v>15</v>
      </c>
      <c r="D30" s="660" t="s">
        <v>357</v>
      </c>
      <c r="E30" s="680">
        <f>ROUND(+E32*(1+0),2)</f>
        <v>14.57</v>
      </c>
      <c r="F30" s="670">
        <f>+$C30*$E30*52</f>
        <v>11364.6</v>
      </c>
      <c r="G30" s="670">
        <f>+$C30*$E31*52</f>
        <v>11481.6</v>
      </c>
      <c r="H30" s="670">
        <f>+$C30*$E32*52</f>
        <v>11364.6</v>
      </c>
      <c r="I30" s="1279" t="s">
        <v>363</v>
      </c>
    </row>
    <row r="31" spans="1:11" ht="18.5" customHeight="1" x14ac:dyDescent="0.35">
      <c r="A31" s="675"/>
      <c r="B31" s="651" t="s">
        <v>344</v>
      </c>
      <c r="C31" s="656"/>
      <c r="D31" s="660" t="s">
        <v>358</v>
      </c>
      <c r="E31" s="680">
        <v>14.72</v>
      </c>
      <c r="F31" s="652">
        <f>+F30-$H30</f>
        <v>0</v>
      </c>
      <c r="G31" s="653">
        <f>+G30-$H30</f>
        <v>117</v>
      </c>
      <c r="H31" s="305"/>
      <c r="I31" s="1279"/>
    </row>
    <row r="32" spans="1:11" ht="16" thickBot="1" x14ac:dyDescent="0.4">
      <c r="A32" s="310"/>
      <c r="B32" s="311" t="s">
        <v>350</v>
      </c>
      <c r="C32" s="677"/>
      <c r="D32" s="689" t="s">
        <v>224</v>
      </c>
      <c r="E32" s="690">
        <v>14.57</v>
      </c>
      <c r="F32" s="693">
        <f>+F31/$H30</f>
        <v>0</v>
      </c>
      <c r="G32" s="678">
        <f>+G31/$H30</f>
        <v>1.029512697323267E-2</v>
      </c>
      <c r="H32" s="311"/>
      <c r="I32" s="1282"/>
    </row>
    <row r="33" spans="1:9" ht="16" thickBot="1" x14ac:dyDescent="0.4">
      <c r="A33" s="305"/>
      <c r="B33" s="305"/>
      <c r="C33" s="656"/>
      <c r="D33" s="660"/>
      <c r="E33" s="680"/>
      <c r="F33" s="657"/>
      <c r="G33" s="657"/>
      <c r="H33" s="305"/>
      <c r="I33" s="679"/>
    </row>
    <row r="34" spans="1:9" ht="18" x14ac:dyDescent="0.35">
      <c r="A34" s="1285" t="s">
        <v>305</v>
      </c>
      <c r="B34" s="1286"/>
      <c r="C34" s="1286"/>
      <c r="D34" s="1286"/>
      <c r="E34" s="1286"/>
      <c r="F34" s="1287" t="str">
        <f>+F$4</f>
        <v>2024 Budget Proposed</v>
      </c>
      <c r="G34" s="1287" t="str">
        <f>+G$4</f>
        <v>2024 Budget Current</v>
      </c>
      <c r="H34" s="1287" t="str">
        <f>+H$4</f>
        <v>2023 Budget</v>
      </c>
      <c r="I34" s="663"/>
    </row>
    <row r="35" spans="1:9" ht="34" customHeight="1" thickBot="1" x14ac:dyDescent="0.4">
      <c r="A35" s="1292"/>
      <c r="B35" s="1293"/>
      <c r="C35" s="1293"/>
      <c r="D35" s="1293"/>
      <c r="E35" s="1293"/>
      <c r="F35" s="1288"/>
      <c r="G35" s="1288"/>
      <c r="H35" s="1288"/>
      <c r="I35" s="668" t="str">
        <f>+I$5</f>
        <v>Notes / Rational for change</v>
      </c>
    </row>
    <row r="36" spans="1:9" x14ac:dyDescent="0.35">
      <c r="A36" s="315" t="s">
        <v>367</v>
      </c>
      <c r="B36" s="307"/>
      <c r="C36" s="654"/>
      <c r="D36" s="307"/>
      <c r="E36" s="307"/>
      <c r="F36" s="686">
        <f>+G36</f>
        <v>14264</v>
      </c>
      <c r="G36" s="686">
        <f>3650+10614</f>
        <v>14264</v>
      </c>
      <c r="H36" s="686">
        <f>3501+12642+1</f>
        <v>16144</v>
      </c>
      <c r="I36" s="316"/>
    </row>
    <row r="37" spans="1:9" x14ac:dyDescent="0.35">
      <c r="A37" s="687" t="s">
        <v>46</v>
      </c>
      <c r="B37" s="683"/>
      <c r="C37" s="684"/>
      <c r="D37" s="683"/>
      <c r="E37" s="683"/>
      <c r="F37" s="685">
        <f>+G37</f>
        <v>30259</v>
      </c>
      <c r="G37" s="685">
        <f>800+500+13800+3000+3375+1500+2759+1000+400+700+925+1500</f>
        <v>30259</v>
      </c>
      <c r="H37" s="685">
        <f>800+500+13800+3000+3375+1500+2759+1000+400+700+925+1500</f>
        <v>30259</v>
      </c>
      <c r="I37" s="688" t="s">
        <v>369</v>
      </c>
    </row>
    <row r="38" spans="1:9" x14ac:dyDescent="0.35">
      <c r="A38" s="1297" t="s">
        <v>368</v>
      </c>
      <c r="B38" s="1298"/>
      <c r="C38" s="658"/>
      <c r="D38" s="659"/>
      <c r="E38" s="682"/>
      <c r="F38" s="692">
        <f>+G38</f>
        <v>188497</v>
      </c>
      <c r="G38" s="692">
        <f>102099+86398</f>
        <v>188497</v>
      </c>
      <c r="H38" s="692">
        <f>100670+48251+18950+8843</f>
        <v>176714</v>
      </c>
      <c r="I38" s="1281" t="s">
        <v>370</v>
      </c>
    </row>
    <row r="39" spans="1:9" x14ac:dyDescent="0.35">
      <c r="A39" s="675"/>
      <c r="B39" s="651"/>
      <c r="C39" s="656"/>
      <c r="D39" s="660"/>
      <c r="E39" s="680"/>
      <c r="F39" s="652">
        <f>+F38-$H38</f>
        <v>11783</v>
      </c>
      <c r="G39" s="653">
        <f>+G38-$H38</f>
        <v>11783</v>
      </c>
      <c r="H39" s="305"/>
      <c r="I39" s="1279"/>
    </row>
    <row r="40" spans="1:9" ht="16" thickBot="1" x14ac:dyDescent="0.4">
      <c r="A40" s="310"/>
      <c r="B40" s="311"/>
      <c r="C40" s="677"/>
      <c r="D40" s="689"/>
      <c r="E40" s="690"/>
      <c r="F40" s="678">
        <f>+F39/$H38</f>
        <v>6.667836164650226E-2</v>
      </c>
      <c r="G40" s="678">
        <f>+G39/$H38</f>
        <v>6.667836164650226E-2</v>
      </c>
      <c r="H40" s="311"/>
      <c r="I40" s="1282"/>
    </row>
    <row r="41" spans="1:9" ht="16" thickBot="1" x14ac:dyDescent="0.4"/>
    <row r="42" spans="1:9" ht="18" x14ac:dyDescent="0.35">
      <c r="A42" s="1285" t="s">
        <v>53</v>
      </c>
      <c r="B42" s="1286"/>
      <c r="C42" s="1286"/>
      <c r="D42" s="1286"/>
      <c r="E42" s="1286"/>
      <c r="F42" s="1296">
        <f>+F6+F9+F12+F18+F21+F24+F27+F30+F36+F37+F38</f>
        <v>343891.4</v>
      </c>
      <c r="G42" s="1296" t="e">
        <f>+G6+G9+G12+G18+G21+G24+G27+G30+G36+G37+G38</f>
        <v>#REF!</v>
      </c>
      <c r="H42" s="1296" t="e">
        <f>+H6+H9+H12+H18+H21+H24+H27+H30+H36+H37+H38</f>
        <v>#REF!</v>
      </c>
      <c r="I42" s="663"/>
    </row>
    <row r="43" spans="1:9" ht="18.5" thickBot="1" x14ac:dyDescent="0.4">
      <c r="A43" s="1292"/>
      <c r="B43" s="1293"/>
      <c r="C43" s="1293"/>
      <c r="D43" s="1293"/>
      <c r="E43" s="1293"/>
      <c r="F43" s="1288"/>
      <c r="G43" s="1288"/>
      <c r="H43" s="1288"/>
      <c r="I43" s="668"/>
    </row>
    <row r="45" spans="1:9" x14ac:dyDescent="0.35">
      <c r="F45" s="691"/>
      <c r="G45" s="646"/>
      <c r="H45" s="691"/>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showGridLines="0" topLeftCell="A16" workbookViewId="0">
      <selection activeCell="D24" sqref="D24"/>
    </sheetView>
  </sheetViews>
  <sheetFormatPr defaultRowHeight="14.5" x14ac:dyDescent="0.35"/>
  <cols>
    <col min="1" max="1" width="37.6328125" style="110" customWidth="1"/>
    <col min="2" max="2" width="8.7265625" style="110"/>
    <col min="3" max="3" width="10.90625" style="110" customWidth="1"/>
    <col min="4" max="4" width="44.7265625" style="110" customWidth="1"/>
    <col min="5" max="16384" width="8.7265625" style="110"/>
  </cols>
  <sheetData>
    <row r="2" spans="1:4" ht="23.5" x14ac:dyDescent="0.35">
      <c r="A2" s="1299" t="s">
        <v>613</v>
      </c>
      <c r="B2" s="1299"/>
      <c r="C2" s="1299"/>
      <c r="D2" s="1299"/>
    </row>
    <row r="4" spans="1:4" x14ac:dyDescent="0.35">
      <c r="A4" s="748" t="s">
        <v>610</v>
      </c>
      <c r="B4" s="1050" t="s">
        <v>608</v>
      </c>
      <c r="C4" s="1050" t="s">
        <v>146</v>
      </c>
      <c r="D4" s="1050" t="s">
        <v>611</v>
      </c>
    </row>
    <row r="5" spans="1:4" x14ac:dyDescent="0.35">
      <c r="A5" s="110" t="s">
        <v>609</v>
      </c>
      <c r="C5" s="1045">
        <v>1008</v>
      </c>
      <c r="D5" s="110" t="s">
        <v>612</v>
      </c>
    </row>
    <row r="6" spans="1:4" x14ac:dyDescent="0.35">
      <c r="A6" s="110" t="s">
        <v>614</v>
      </c>
      <c r="B6" s="1046">
        <v>112.35</v>
      </c>
      <c r="C6" s="1047">
        <f>+B6*12</f>
        <v>1348.1999999999998</v>
      </c>
      <c r="D6" s="110" t="s">
        <v>612</v>
      </c>
    </row>
    <row r="7" spans="1:4" x14ac:dyDescent="0.35">
      <c r="A7" s="110" t="s">
        <v>615</v>
      </c>
      <c r="D7" s="110" t="s">
        <v>616</v>
      </c>
    </row>
    <row r="8" spans="1:4" x14ac:dyDescent="0.35">
      <c r="A8" s="110" t="s">
        <v>617</v>
      </c>
      <c r="C8" s="1045">
        <v>500</v>
      </c>
      <c r="D8" s="110" t="s">
        <v>612</v>
      </c>
    </row>
    <row r="9" spans="1:4" x14ac:dyDescent="0.35">
      <c r="A9" s="110" t="s">
        <v>618</v>
      </c>
      <c r="C9" s="1045">
        <v>300</v>
      </c>
      <c r="D9" s="110" t="s">
        <v>612</v>
      </c>
    </row>
    <row r="10" spans="1:4" x14ac:dyDescent="0.35">
      <c r="A10" s="110" t="s">
        <v>685</v>
      </c>
      <c r="B10" s="1044">
        <v>160</v>
      </c>
      <c r="C10" s="1047">
        <f>+B10*12</f>
        <v>1920</v>
      </c>
      <c r="D10" s="110" t="s">
        <v>228</v>
      </c>
    </row>
    <row r="11" spans="1:4" x14ac:dyDescent="0.35">
      <c r="A11" s="110" t="s">
        <v>619</v>
      </c>
      <c r="B11" s="1044">
        <v>118.6</v>
      </c>
      <c r="C11" s="1047">
        <f>+B11*12</f>
        <v>1423.1999999999998</v>
      </c>
      <c r="D11" s="110" t="s">
        <v>228</v>
      </c>
    </row>
    <row r="12" spans="1:4" ht="29" x14ac:dyDescent="0.35">
      <c r="A12" s="110" t="s">
        <v>623</v>
      </c>
      <c r="B12" s="1044"/>
      <c r="C12" s="1045">
        <v>2000</v>
      </c>
      <c r="D12" s="721" t="s">
        <v>624</v>
      </c>
    </row>
    <row r="13" spans="1:4" x14ac:dyDescent="0.35">
      <c r="A13" s="110" t="s">
        <v>625</v>
      </c>
      <c r="B13" s="1044"/>
      <c r="C13" s="1045">
        <f>10000-9349.4+50</f>
        <v>700.60000000000036</v>
      </c>
    </row>
    <row r="14" spans="1:4" x14ac:dyDescent="0.35">
      <c r="A14" s="110" t="s">
        <v>620</v>
      </c>
      <c r="B14" s="1044">
        <v>25</v>
      </c>
      <c r="C14" s="1047">
        <f>+B14*12</f>
        <v>300</v>
      </c>
      <c r="D14" s="110" t="s">
        <v>612</v>
      </c>
    </row>
    <row r="15" spans="1:4" x14ac:dyDescent="0.35">
      <c r="A15" s="748" t="s">
        <v>621</v>
      </c>
      <c r="B15" s="748"/>
      <c r="C15" s="1048">
        <f>SUM(C5:C14)</f>
        <v>9500</v>
      </c>
    </row>
    <row r="17" spans="1:4" x14ac:dyDescent="0.35">
      <c r="A17" s="110" t="s">
        <v>626</v>
      </c>
      <c r="C17" s="1049">
        <f>+C5+C6+C8+C9+C14</f>
        <v>3456.2</v>
      </c>
    </row>
    <row r="18" spans="1:4" x14ac:dyDescent="0.35">
      <c r="A18" s="110" t="s">
        <v>627</v>
      </c>
      <c r="C18" s="1049">
        <f>+C10+C11</f>
        <v>3343.2</v>
      </c>
    </row>
    <row r="19" spans="1:4" x14ac:dyDescent="0.35">
      <c r="A19" s="748" t="s">
        <v>628</v>
      </c>
      <c r="B19" s="748"/>
      <c r="C19" s="1048">
        <f>+C15-C17-C18</f>
        <v>2700.6000000000004</v>
      </c>
    </row>
    <row r="20" spans="1:4" x14ac:dyDescent="0.35">
      <c r="C20" s="1049"/>
    </row>
    <row r="22" spans="1:4" x14ac:dyDescent="0.35">
      <c r="A22" s="748" t="s">
        <v>622</v>
      </c>
    </row>
    <row r="23" spans="1:4" x14ac:dyDescent="0.35">
      <c r="A23" s="110" t="s">
        <v>629</v>
      </c>
      <c r="C23" s="1045">
        <v>2000</v>
      </c>
    </row>
    <row r="24" spans="1:4" x14ac:dyDescent="0.35">
      <c r="A24" s="110" t="s">
        <v>630</v>
      </c>
      <c r="C24" s="1045">
        <v>500</v>
      </c>
    </row>
    <row r="25" spans="1:4" ht="43.5" x14ac:dyDescent="0.35">
      <c r="A25" s="110" t="s">
        <v>631</v>
      </c>
      <c r="C25" s="1045">
        <v>1000</v>
      </c>
      <c r="D25" s="721" t="s">
        <v>686</v>
      </c>
    </row>
    <row r="26" spans="1:4" x14ac:dyDescent="0.35">
      <c r="A26" s="110" t="s">
        <v>632</v>
      </c>
      <c r="C26" s="1045">
        <v>5000</v>
      </c>
    </row>
    <row r="27" spans="1:4" x14ac:dyDescent="0.35">
      <c r="A27" s="110" t="s">
        <v>635</v>
      </c>
      <c r="C27" s="1045">
        <v>2500</v>
      </c>
      <c r="D27" s="110" t="s">
        <v>687</v>
      </c>
    </row>
    <row r="28" spans="1:4" x14ac:dyDescent="0.35">
      <c r="A28" s="110" t="s">
        <v>633</v>
      </c>
      <c r="C28" s="1045">
        <v>250</v>
      </c>
      <c r="D28" s="110" t="s">
        <v>688</v>
      </c>
    </row>
    <row r="29" spans="1:4" x14ac:dyDescent="0.35">
      <c r="A29" s="748" t="s">
        <v>634</v>
      </c>
      <c r="B29" s="748"/>
      <c r="C29" s="1048">
        <f>SUM(C23:C28)</f>
        <v>11250</v>
      </c>
    </row>
  </sheetData>
  <mergeCells count="1">
    <mergeCell ref="A2:D2"/>
  </mergeCells>
  <printOptions horizontalCentered="1"/>
  <pageMargins left="0.2" right="0.2" top="0.75" bottom="0.5" header="0.3" footer="0.3"/>
  <pageSetup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opLeftCell="A9" workbookViewId="0">
      <selection activeCell="C21" sqref="C21"/>
    </sheetView>
  </sheetViews>
  <sheetFormatPr defaultRowHeight="14.5" x14ac:dyDescent="0.35"/>
  <cols>
    <col min="1" max="1" width="3.6328125" customWidth="1"/>
    <col min="2" max="2" width="31.81640625" customWidth="1"/>
    <col min="3" max="3" width="12.36328125" customWidth="1"/>
    <col min="4" max="4" width="12.453125" customWidth="1"/>
  </cols>
  <sheetData>
    <row r="1" spans="1:8" ht="23.5" x14ac:dyDescent="0.55000000000000004">
      <c r="A1" s="1303" t="s">
        <v>636</v>
      </c>
      <c r="B1" s="1303"/>
      <c r="C1" s="1303"/>
      <c r="D1" s="1303"/>
      <c r="E1" s="1303"/>
      <c r="F1" s="1303"/>
      <c r="G1" s="1303"/>
      <c r="H1" s="1303"/>
    </row>
    <row r="2" spans="1:8" ht="15" thickBot="1" x14ac:dyDescent="0.4"/>
    <row r="3" spans="1:8" ht="25.5" customHeight="1" thickBot="1" x14ac:dyDescent="0.4">
      <c r="A3" s="1175">
        <v>1</v>
      </c>
      <c r="B3" s="1176" t="s">
        <v>639</v>
      </c>
      <c r="C3" s="1177">
        <v>70000</v>
      </c>
      <c r="D3" s="1178"/>
      <c r="E3" s="1176"/>
      <c r="F3" s="1176"/>
      <c r="G3" s="1176"/>
      <c r="H3" s="1179"/>
    </row>
    <row r="4" spans="1:8" x14ac:dyDescent="0.35">
      <c r="A4" s="1155"/>
      <c r="B4" s="1156"/>
      <c r="C4" s="1157"/>
      <c r="D4" s="1169" t="s">
        <v>678</v>
      </c>
      <c r="E4" s="1156"/>
      <c r="F4" s="1156"/>
      <c r="G4" s="1156"/>
      <c r="H4" s="1158"/>
    </row>
    <row r="5" spans="1:8" x14ac:dyDescent="0.35">
      <c r="A5" s="1302">
        <v>2</v>
      </c>
      <c r="B5" s="1300" t="s">
        <v>85</v>
      </c>
      <c r="C5" s="1301">
        <v>10000</v>
      </c>
      <c r="D5" s="1159">
        <f>(436000*0.06)-'New Year-Full Year'!Q26</f>
        <v>1260</v>
      </c>
      <c r="E5" s="623" t="s">
        <v>640</v>
      </c>
      <c r="F5" s="623"/>
      <c r="G5" s="623"/>
      <c r="H5" s="1160"/>
    </row>
    <row r="6" spans="1:8" x14ac:dyDescent="0.35">
      <c r="A6" s="1302"/>
      <c r="B6" s="1300"/>
      <c r="C6" s="1301"/>
      <c r="D6" s="1159">
        <f>(436000*0.08)-'New Year-Full Year'!Q26</f>
        <v>9980</v>
      </c>
      <c r="E6" s="623" t="s">
        <v>641</v>
      </c>
      <c r="F6" s="623"/>
      <c r="G6" s="623"/>
      <c r="H6" s="1160"/>
    </row>
    <row r="7" spans="1:8" x14ac:dyDescent="0.35">
      <c r="A7" s="1302"/>
      <c r="B7" s="1300"/>
      <c r="C7" s="1301"/>
      <c r="D7" s="1159">
        <f>(436000*0.1)-'New Year-Full Year'!Q26</f>
        <v>18700</v>
      </c>
      <c r="E7" s="623" t="s">
        <v>642</v>
      </c>
      <c r="F7" s="623"/>
      <c r="G7" s="623"/>
      <c r="H7" s="1160"/>
    </row>
    <row r="8" spans="1:8" ht="25.5" customHeight="1" x14ac:dyDescent="0.35">
      <c r="A8" s="1161"/>
      <c r="B8" s="1190" t="s">
        <v>683</v>
      </c>
      <c r="C8" s="1170" t="s">
        <v>678</v>
      </c>
      <c r="D8" s="1171" t="s">
        <v>677</v>
      </c>
      <c r="E8" s="623"/>
      <c r="F8" s="623"/>
      <c r="G8" s="623"/>
      <c r="H8" s="1160"/>
    </row>
    <row r="9" spans="1:8" x14ac:dyDescent="0.35">
      <c r="A9" s="1161"/>
      <c r="B9" s="623" t="s">
        <v>253</v>
      </c>
      <c r="C9" s="1162">
        <v>3000</v>
      </c>
      <c r="D9" s="1162">
        <v>3500</v>
      </c>
      <c r="E9" s="623"/>
      <c r="F9" s="623"/>
      <c r="G9" s="623"/>
      <c r="H9" s="1160"/>
    </row>
    <row r="10" spans="1:8" x14ac:dyDescent="0.35">
      <c r="A10" s="1161"/>
      <c r="B10" s="623" t="s">
        <v>679</v>
      </c>
      <c r="C10" s="1162">
        <v>1000</v>
      </c>
      <c r="D10" s="1162">
        <f>1000+750</f>
        <v>1750</v>
      </c>
      <c r="E10" s="623"/>
      <c r="F10" s="623"/>
      <c r="G10" s="623"/>
      <c r="H10" s="1160"/>
    </row>
    <row r="11" spans="1:8" x14ac:dyDescent="0.35">
      <c r="A11" s="1161"/>
      <c r="B11" s="623" t="s">
        <v>526</v>
      </c>
      <c r="C11" s="1162">
        <v>1000</v>
      </c>
      <c r="D11" s="1162">
        <f>1000+750</f>
        <v>1750</v>
      </c>
      <c r="E11" s="623"/>
      <c r="F11" s="623"/>
      <c r="G11" s="623"/>
      <c r="H11" s="1160"/>
    </row>
    <row r="12" spans="1:8" x14ac:dyDescent="0.35">
      <c r="A12" s="1161"/>
      <c r="B12" s="623" t="s">
        <v>645</v>
      </c>
      <c r="C12" s="1162">
        <v>2000</v>
      </c>
      <c r="D12" s="1162">
        <v>2000</v>
      </c>
      <c r="E12" s="623"/>
      <c r="F12" s="623"/>
      <c r="G12" s="623"/>
      <c r="H12" s="1160"/>
    </row>
    <row r="13" spans="1:8" x14ac:dyDescent="0.35">
      <c r="A13" s="1161"/>
      <c r="B13" s="623" t="s">
        <v>256</v>
      </c>
      <c r="C13" s="1162">
        <v>1000</v>
      </c>
      <c r="D13" s="1162">
        <v>2000</v>
      </c>
      <c r="E13" s="623"/>
      <c r="F13" s="623"/>
      <c r="G13" s="623"/>
      <c r="H13" s="1160"/>
    </row>
    <row r="14" spans="1:8" x14ac:dyDescent="0.35">
      <c r="A14" s="1161"/>
      <c r="B14" s="623" t="s">
        <v>379</v>
      </c>
      <c r="C14" s="1162">
        <v>1000</v>
      </c>
      <c r="D14" s="1162">
        <v>2000</v>
      </c>
      <c r="E14" s="623"/>
      <c r="F14" s="623"/>
      <c r="G14" s="623"/>
      <c r="H14" s="1160"/>
    </row>
    <row r="15" spans="1:8" x14ac:dyDescent="0.35">
      <c r="A15" s="1161"/>
      <c r="B15" s="623" t="s">
        <v>258</v>
      </c>
      <c r="C15" s="1162">
        <v>1000</v>
      </c>
      <c r="D15" s="1162">
        <v>2000</v>
      </c>
      <c r="E15" s="623"/>
      <c r="F15" s="623"/>
      <c r="G15" s="623"/>
      <c r="H15" s="1160"/>
    </row>
    <row r="16" spans="1:8" ht="15" thickBot="1" x14ac:dyDescent="0.4">
      <c r="A16" s="1163"/>
      <c r="B16" s="1164" t="s">
        <v>684</v>
      </c>
      <c r="C16" s="1165">
        <f>SUM(C9:C15)</f>
        <v>10000</v>
      </c>
      <c r="D16" s="1166"/>
      <c r="E16" s="1167"/>
      <c r="F16" s="1167"/>
      <c r="G16" s="1167"/>
      <c r="H16" s="1168"/>
    </row>
    <row r="17" spans="1:8" ht="25.5" customHeight="1" thickBot="1" x14ac:dyDescent="0.4">
      <c r="A17" s="1180">
        <v>3</v>
      </c>
      <c r="B17" s="1181" t="s">
        <v>637</v>
      </c>
      <c r="C17" s="1182">
        <f>+Technology!C29</f>
        <v>11250</v>
      </c>
      <c r="D17" s="1183" t="s">
        <v>680</v>
      </c>
      <c r="E17" s="1184"/>
      <c r="F17" s="1184"/>
      <c r="G17" s="1184"/>
      <c r="H17" s="1185"/>
    </row>
    <row r="18" spans="1:8" ht="25.5" customHeight="1" thickBot="1" x14ac:dyDescent="0.4">
      <c r="A18" s="1172">
        <v>4</v>
      </c>
      <c r="B18" s="887" t="s">
        <v>638</v>
      </c>
      <c r="C18" s="1173">
        <v>1500</v>
      </c>
      <c r="D18" s="1174" t="s">
        <v>689</v>
      </c>
      <c r="E18" s="887"/>
      <c r="F18" s="887"/>
      <c r="G18" s="887"/>
      <c r="H18" s="888"/>
    </row>
    <row r="19" spans="1:8" ht="25.5" customHeight="1" thickBot="1" x14ac:dyDescent="0.4">
      <c r="A19" s="1175">
        <v>5</v>
      </c>
      <c r="B19" s="1176" t="s">
        <v>454</v>
      </c>
      <c r="C19" s="1177">
        <v>5000</v>
      </c>
      <c r="D19" s="1178"/>
      <c r="E19" s="1176"/>
      <c r="F19" s="1176"/>
      <c r="G19" s="1176"/>
      <c r="H19" s="1179"/>
    </row>
    <row r="20" spans="1:8" ht="25.5" customHeight="1" thickBot="1" x14ac:dyDescent="0.4">
      <c r="A20" s="1172">
        <v>6</v>
      </c>
      <c r="B20" s="887" t="s">
        <v>681</v>
      </c>
      <c r="C20" s="1173">
        <v>1200</v>
      </c>
      <c r="D20" s="1174" t="s">
        <v>689</v>
      </c>
      <c r="E20" s="887"/>
      <c r="F20" s="887"/>
      <c r="G20" s="887"/>
      <c r="H20" s="888"/>
    </row>
    <row r="21" spans="1:8" ht="25.5" customHeight="1" thickBot="1" x14ac:dyDescent="0.4">
      <c r="A21" s="1186">
        <v>7</v>
      </c>
      <c r="B21" s="1187" t="s">
        <v>643</v>
      </c>
      <c r="C21" s="1188">
        <f>C3-SUM(C16:C20)</f>
        <v>41050</v>
      </c>
      <c r="D21" s="1188" t="s">
        <v>682</v>
      </c>
      <c r="E21" s="1187"/>
      <c r="F21" s="1187"/>
      <c r="G21" s="1187"/>
      <c r="H21" s="1189"/>
    </row>
  </sheetData>
  <mergeCells count="4">
    <mergeCell ref="B5:B7"/>
    <mergeCell ref="C5:C7"/>
    <mergeCell ref="A5:A7"/>
    <mergeCell ref="A1:H1"/>
  </mergeCells>
  <printOptions horizontalCentered="1"/>
  <pageMargins left="0" right="0"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showGridLines="0" topLeftCell="A19" workbookViewId="0">
      <selection activeCell="E34" sqref="E34"/>
    </sheetView>
  </sheetViews>
  <sheetFormatPr defaultRowHeight="14.5" x14ac:dyDescent="0.35"/>
  <cols>
    <col min="1" max="1" width="49.36328125" style="110" customWidth="1"/>
    <col min="2" max="2" width="13.90625" style="110" customWidth="1"/>
    <col min="3" max="3" width="14" style="110" customWidth="1"/>
    <col min="4" max="5" width="14" style="174" customWidth="1"/>
    <col min="6" max="7" width="9.453125" style="110" bestFit="1" customWidth="1"/>
    <col min="8" max="8" width="8.7265625" style="110"/>
    <col min="9" max="9" width="11.08984375" style="110" bestFit="1" customWidth="1"/>
    <col min="10" max="10" width="8.7265625" style="110" customWidth="1"/>
    <col min="11" max="11" width="10.90625" style="110" customWidth="1"/>
    <col min="12" max="12" width="11.6328125" style="110" customWidth="1"/>
    <col min="13" max="16384" width="8.7265625" style="110"/>
  </cols>
  <sheetData>
    <row r="1" spans="1:14" ht="21" x14ac:dyDescent="0.35">
      <c r="A1" s="1306" t="s">
        <v>584</v>
      </c>
      <c r="B1" s="1306"/>
      <c r="C1" s="1306"/>
      <c r="D1" s="1306"/>
      <c r="E1" s="1306"/>
      <c r="F1" s="1306"/>
      <c r="G1" s="1306"/>
      <c r="H1" s="1306"/>
      <c r="I1" s="1306"/>
      <c r="J1" s="1306"/>
      <c r="K1" s="1306"/>
      <c r="L1" s="1306"/>
    </row>
    <row r="2" spans="1:14" x14ac:dyDescent="0.35">
      <c r="A2" s="110" t="s">
        <v>585</v>
      </c>
      <c r="B2" s="745"/>
      <c r="C2" s="879"/>
      <c r="D2" s="1028"/>
      <c r="E2" s="1028"/>
    </row>
    <row r="3" spans="1:14" ht="43.5" customHeight="1" x14ac:dyDescent="0.35">
      <c r="A3" s="765"/>
      <c r="B3" s="1023" t="s">
        <v>583</v>
      </c>
      <c r="C3" s="738" t="s">
        <v>732</v>
      </c>
      <c r="D3" s="996" t="s">
        <v>572</v>
      </c>
      <c r="E3" s="996" t="s">
        <v>695</v>
      </c>
      <c r="G3" s="1218"/>
    </row>
    <row r="4" spans="1:14" ht="15" customHeight="1" x14ac:dyDescent="0.35">
      <c r="A4" s="765" t="s">
        <v>594</v>
      </c>
      <c r="B4" s="1024">
        <v>9</v>
      </c>
      <c r="C4" s="1026">
        <v>10</v>
      </c>
      <c r="D4" s="1029">
        <v>10</v>
      </c>
      <c r="E4" s="1029">
        <v>10</v>
      </c>
    </row>
    <row r="5" spans="1:14" ht="26" customHeight="1" x14ac:dyDescent="0.35">
      <c r="A5" s="765"/>
      <c r="B5" s="790"/>
      <c r="C5" s="1027" t="s">
        <v>598</v>
      </c>
      <c r="D5" s="1030"/>
      <c r="E5" s="1030"/>
    </row>
    <row r="6" spans="1:14" ht="15" customHeight="1" x14ac:dyDescent="0.35">
      <c r="A6" s="1025" t="s">
        <v>36</v>
      </c>
      <c r="B6" s="113">
        <f>+B8-B7</f>
        <v>46565</v>
      </c>
      <c r="C6" s="511">
        <f>+C8-C7</f>
        <v>52110</v>
      </c>
      <c r="D6" s="144">
        <f>+D8-D7</f>
        <v>50055</v>
      </c>
      <c r="E6" s="144">
        <f>+E8-E7</f>
        <v>52110</v>
      </c>
    </row>
    <row r="7" spans="1:14" ht="15" customHeight="1" thickBot="1" x14ac:dyDescent="0.4">
      <c r="A7" s="142" t="s">
        <v>125</v>
      </c>
      <c r="B7" s="115">
        <v>23255</v>
      </c>
      <c r="C7" s="513">
        <v>21200</v>
      </c>
      <c r="D7" s="149">
        <f>+B7</f>
        <v>23255</v>
      </c>
      <c r="E7" s="1216">
        <f>ROUND(+I23,0)</f>
        <v>21200</v>
      </c>
      <c r="G7" s="1220"/>
    </row>
    <row r="8" spans="1:14" ht="15" customHeight="1" x14ac:dyDescent="0.35">
      <c r="A8" s="142" t="s">
        <v>592</v>
      </c>
      <c r="B8" s="350">
        <f>46565+23255</f>
        <v>69820</v>
      </c>
      <c r="C8" s="550">
        <v>73310</v>
      </c>
      <c r="D8" s="375">
        <f>+C8</f>
        <v>73310</v>
      </c>
      <c r="E8" s="375">
        <f>+D8</f>
        <v>73310</v>
      </c>
      <c r="F8" s="1217" t="s">
        <v>599</v>
      </c>
      <c r="G8" s="382"/>
    </row>
    <row r="9" spans="1:14" ht="15" customHeight="1" thickBot="1" x14ac:dyDescent="0.4">
      <c r="A9" s="1004" t="s">
        <v>591</v>
      </c>
      <c r="B9" s="559">
        <v>2977</v>
      </c>
      <c r="C9" s="524">
        <v>2954</v>
      </c>
      <c r="D9" s="358">
        <f>+B9</f>
        <v>2977</v>
      </c>
      <c r="E9" s="1213">
        <f>+L15</f>
        <v>2954</v>
      </c>
      <c r="F9" s="1219" t="str">
        <f>"      $"&amp;(74671-73310)&amp;" additional from 10 year guidelines"</f>
        <v xml:space="preserve">      $1361 additional from 10 year guidelines</v>
      </c>
    </row>
    <row r="10" spans="1:14" ht="15" customHeight="1" thickBot="1" x14ac:dyDescent="0.4">
      <c r="A10" s="161" t="s">
        <v>142</v>
      </c>
      <c r="B10" s="118">
        <f>+B8+B9</f>
        <v>72797</v>
      </c>
      <c r="C10" s="519">
        <f>+C8+C9</f>
        <v>76264</v>
      </c>
      <c r="D10" s="353">
        <f>+D8+D9</f>
        <v>76287</v>
      </c>
      <c r="E10" s="353">
        <f>+E8+E9</f>
        <v>76264</v>
      </c>
      <c r="G10" s="1307" t="s">
        <v>712</v>
      </c>
      <c r="H10" s="1308"/>
      <c r="I10" s="1308"/>
      <c r="J10" s="1308"/>
      <c r="K10" s="1308"/>
      <c r="L10" s="1309"/>
    </row>
    <row r="11" spans="1:14" ht="15" customHeight="1" x14ac:dyDescent="0.35">
      <c r="A11" s="154" t="s">
        <v>423</v>
      </c>
      <c r="B11" s="560">
        <v>7.6499999999999999E-2</v>
      </c>
      <c r="C11" s="527">
        <v>7.6499999999999999E-2</v>
      </c>
      <c r="D11" s="1031">
        <f>+$B11</f>
        <v>7.6499999999999999E-2</v>
      </c>
      <c r="E11" s="1031">
        <f>+B11</f>
        <v>7.6499999999999999E-2</v>
      </c>
      <c r="G11" s="1204">
        <v>2024</v>
      </c>
      <c r="H11" s="293"/>
      <c r="I11" s="293"/>
      <c r="J11" s="1205"/>
      <c r="K11" s="1310" t="s">
        <v>706</v>
      </c>
      <c r="L11" s="1206"/>
    </row>
    <row r="12" spans="1:14" ht="15" customHeight="1" x14ac:dyDescent="0.35">
      <c r="A12" s="154" t="s">
        <v>233</v>
      </c>
      <c r="B12" s="109">
        <f>ROUND(+B10*B11,0)</f>
        <v>5569</v>
      </c>
      <c r="C12" s="520">
        <f>ROUND(+C10*C11,0)</f>
        <v>5834</v>
      </c>
      <c r="D12" s="166">
        <f>ROUND(+D10*D11,0)</f>
        <v>5836</v>
      </c>
      <c r="E12" s="166">
        <f>ROUND(+E10*E11,0)</f>
        <v>5834</v>
      </c>
      <c r="G12" s="258" t="s">
        <v>703</v>
      </c>
      <c r="H12" s="259"/>
      <c r="I12" s="259"/>
      <c r="J12" s="1207" t="s">
        <v>704</v>
      </c>
      <c r="K12" s="1311"/>
      <c r="L12" s="1208" t="s">
        <v>707</v>
      </c>
    </row>
    <row r="13" spans="1:14" ht="15" customHeight="1" x14ac:dyDescent="0.35">
      <c r="A13" s="169" t="s">
        <v>144</v>
      </c>
      <c r="B13" s="120">
        <f>+B10+B12</f>
        <v>78366</v>
      </c>
      <c r="C13" s="522">
        <f>+C10+C12</f>
        <v>82098</v>
      </c>
      <c r="D13" s="173">
        <f>+D10+D12</f>
        <v>82123</v>
      </c>
      <c r="E13" s="173">
        <f>+E10+E12</f>
        <v>82098</v>
      </c>
      <c r="G13" s="258" t="s">
        <v>705</v>
      </c>
      <c r="H13" s="259"/>
      <c r="I13" s="259"/>
      <c r="J13" s="1209">
        <v>243.62</v>
      </c>
      <c r="K13" s="1209">
        <v>147.04</v>
      </c>
      <c r="L13" s="1210">
        <f>+J13-K13</f>
        <v>96.580000000000013</v>
      </c>
    </row>
    <row r="14" spans="1:14" ht="15" customHeight="1" x14ac:dyDescent="0.35">
      <c r="A14" s="174"/>
      <c r="B14" s="174"/>
      <c r="C14" s="174"/>
      <c r="G14" s="258" t="s">
        <v>710</v>
      </c>
      <c r="H14" s="259"/>
      <c r="I14" s="259"/>
      <c r="J14" s="259"/>
      <c r="K14" s="259"/>
      <c r="L14" s="1210">
        <f>+L13*26</f>
        <v>2511.0800000000004</v>
      </c>
    </row>
    <row r="15" spans="1:14" ht="15" customHeight="1" thickBot="1" x14ac:dyDescent="0.4">
      <c r="A15" s="175" t="s">
        <v>590</v>
      </c>
      <c r="B15" s="555">
        <v>0.1</v>
      </c>
      <c r="C15" s="538">
        <v>0.1</v>
      </c>
      <c r="D15" s="1032">
        <f>+$B15</f>
        <v>0.1</v>
      </c>
      <c r="E15" s="1032">
        <f>+$B15</f>
        <v>0.1</v>
      </c>
      <c r="G15" s="1200" t="s">
        <v>708</v>
      </c>
      <c r="H15" s="750"/>
      <c r="I15" s="750"/>
      <c r="J15" s="750"/>
      <c r="K15" s="750"/>
      <c r="L15" s="1212">
        <f>ROUND(+L14/(1-0.15),0)</f>
        <v>2954</v>
      </c>
      <c r="N15" s="1194"/>
    </row>
    <row r="16" spans="1:14" ht="15" customHeight="1" x14ac:dyDescent="0.35">
      <c r="A16" s="169" t="s">
        <v>151</v>
      </c>
      <c r="B16" s="120">
        <f>ROUND(+B13*B15,0)</f>
        <v>7837</v>
      </c>
      <c r="C16" s="522">
        <f>ROUND(+C13*C15,0)</f>
        <v>8210</v>
      </c>
      <c r="D16" s="173">
        <f>ROUND(+D13*D15,0)</f>
        <v>8212</v>
      </c>
      <c r="E16" s="173">
        <f>ROUND(+E13*E15,0)</f>
        <v>8210</v>
      </c>
      <c r="G16" s="1211" t="s">
        <v>702</v>
      </c>
      <c r="H16" s="293"/>
      <c r="I16" s="293"/>
      <c r="J16" s="293"/>
      <c r="K16" s="293"/>
      <c r="L16" s="903"/>
      <c r="N16" s="1194"/>
    </row>
    <row r="17" spans="1:14" ht="15" customHeight="1" x14ac:dyDescent="0.35">
      <c r="A17" s="174"/>
      <c r="B17" s="174"/>
      <c r="C17" s="174"/>
      <c r="G17" s="258" t="s">
        <v>711</v>
      </c>
      <c r="H17" s="259"/>
      <c r="I17" s="259"/>
      <c r="J17" s="1209">
        <v>245.96</v>
      </c>
      <c r="K17" s="1209">
        <v>148.63999999999999</v>
      </c>
      <c r="L17" s="1210">
        <f>+J17-K17</f>
        <v>97.320000000000022</v>
      </c>
    </row>
    <row r="18" spans="1:14" ht="15" customHeight="1" x14ac:dyDescent="0.35">
      <c r="A18" s="175" t="s">
        <v>153</v>
      </c>
      <c r="B18" s="112"/>
      <c r="C18" s="510"/>
      <c r="D18" s="141"/>
      <c r="E18" s="141"/>
      <c r="G18" s="258" t="s">
        <v>710</v>
      </c>
      <c r="H18" s="259"/>
      <c r="I18" s="259"/>
      <c r="J18" s="259"/>
      <c r="K18" s="259"/>
      <c r="L18" s="1210">
        <f>+L17*26</f>
        <v>2530.3200000000006</v>
      </c>
    </row>
    <row r="19" spans="1:14" ht="15" customHeight="1" thickBot="1" x14ac:dyDescent="0.4">
      <c r="A19" s="154" t="s">
        <v>588</v>
      </c>
      <c r="B19" s="365">
        <v>8.9999999999999993E-3</v>
      </c>
      <c r="C19" s="544">
        <v>8.9999999999999993E-3</v>
      </c>
      <c r="D19" s="362">
        <f>+$B19</f>
        <v>8.9999999999999993E-3</v>
      </c>
      <c r="E19" s="362">
        <f>+$B19</f>
        <v>8.9999999999999993E-3</v>
      </c>
      <c r="G19" s="1200" t="s">
        <v>708</v>
      </c>
      <c r="H19" s="750"/>
      <c r="I19" s="750"/>
      <c r="J19" s="750"/>
      <c r="K19" s="750"/>
      <c r="L19" s="1212">
        <f>ROUND(+L18/(1-0.15),0)</f>
        <v>2977</v>
      </c>
      <c r="N19" s="1194"/>
    </row>
    <row r="20" spans="1:14" ht="15" customHeight="1" thickBot="1" x14ac:dyDescent="0.4">
      <c r="A20" s="154" t="s">
        <v>587</v>
      </c>
      <c r="B20" s="109">
        <f>ROUND(B$13*B19,0)</f>
        <v>705</v>
      </c>
      <c r="C20" s="1036">
        <f>ROUND(C$13*C19,0)</f>
        <v>739</v>
      </c>
      <c r="D20" s="1037">
        <f>ROUND(D$13*D19,0)</f>
        <v>739</v>
      </c>
      <c r="E20" s="1037">
        <f>ROUND(E$13*E19,0)</f>
        <v>739</v>
      </c>
      <c r="N20" s="1194"/>
    </row>
    <row r="21" spans="1:14" ht="15" customHeight="1" thickBot="1" x14ac:dyDescent="0.4">
      <c r="A21" s="154" t="s">
        <v>589</v>
      </c>
      <c r="B21" s="365">
        <v>8.0400000000000003E-3</v>
      </c>
      <c r="C21" s="544">
        <v>8.0400000000000003E-3</v>
      </c>
      <c r="D21" s="362">
        <f>+$B21</f>
        <v>8.0400000000000003E-3</v>
      </c>
      <c r="E21" s="362">
        <f>+$B21</f>
        <v>8.0400000000000003E-3</v>
      </c>
      <c r="G21" s="1307" t="s">
        <v>125</v>
      </c>
      <c r="H21" s="1308"/>
      <c r="I21" s="1308"/>
      <c r="J21" s="1308"/>
      <c r="K21" s="1308"/>
      <c r="L21" s="1309"/>
    </row>
    <row r="22" spans="1:14" ht="15" customHeight="1" x14ac:dyDescent="0.35">
      <c r="A22" s="154" t="s">
        <v>587</v>
      </c>
      <c r="B22" s="109">
        <f>ROUND(B$13*B21,0)</f>
        <v>630</v>
      </c>
      <c r="C22" s="1036">
        <f>ROUND(C$13*C21,0)</f>
        <v>660</v>
      </c>
      <c r="D22" s="1037">
        <f>ROUND(D$13*D21,0)</f>
        <v>660</v>
      </c>
      <c r="E22" s="1037">
        <f>ROUND(E$13*E21,0)</f>
        <v>660</v>
      </c>
      <c r="G22" s="1203">
        <v>2024</v>
      </c>
      <c r="H22" s="293"/>
      <c r="I22" s="293"/>
      <c r="J22" s="293" t="s">
        <v>709</v>
      </c>
      <c r="K22" s="293"/>
      <c r="L22" s="1199">
        <f>2514*12</f>
        <v>30168</v>
      </c>
    </row>
    <row r="23" spans="1:14" ht="15" customHeight="1" x14ac:dyDescent="0.35">
      <c r="A23" s="130" t="s">
        <v>155</v>
      </c>
      <c r="B23" s="120">
        <f>+B20+B22</f>
        <v>1335</v>
      </c>
      <c r="C23" s="522">
        <f>+C20+C22</f>
        <v>1399</v>
      </c>
      <c r="D23" s="173">
        <f>+D20+D22</f>
        <v>1399</v>
      </c>
      <c r="E23" s="173">
        <f>+E20+E22</f>
        <v>1399</v>
      </c>
      <c r="G23" s="1196" t="s">
        <v>696</v>
      </c>
      <c r="H23" s="259"/>
      <c r="I23" s="1214">
        <f>ROUNDUP(+I24+I25+I26+L24+L25+L26,-2)</f>
        <v>21200</v>
      </c>
      <c r="J23" s="259" t="s">
        <v>729</v>
      </c>
      <c r="K23" s="259"/>
      <c r="L23" s="1197"/>
    </row>
    <row r="24" spans="1:14" ht="15" customHeight="1" x14ac:dyDescent="0.35">
      <c r="G24" s="258" t="s">
        <v>697</v>
      </c>
      <c r="H24" s="259"/>
      <c r="I24" s="1198">
        <v>8398.58</v>
      </c>
      <c r="J24" s="259" t="s">
        <v>700</v>
      </c>
      <c r="K24" s="259"/>
      <c r="L24" s="1199">
        <f>400*6</f>
        <v>2400</v>
      </c>
    </row>
    <row r="25" spans="1:14" ht="15" customHeight="1" x14ac:dyDescent="0.35">
      <c r="A25" s="121" t="s">
        <v>99</v>
      </c>
      <c r="B25" s="192"/>
      <c r="C25" s="547"/>
      <c r="D25" s="354"/>
      <c r="E25" s="354"/>
      <c r="G25" s="258" t="s">
        <v>698</v>
      </c>
      <c r="H25" s="259"/>
      <c r="I25" s="1198">
        <v>5274.66</v>
      </c>
      <c r="J25" s="259" t="s">
        <v>701</v>
      </c>
      <c r="K25" s="259"/>
      <c r="L25" s="1199">
        <v>400</v>
      </c>
    </row>
    <row r="26" spans="1:14" ht="15" customHeight="1" x14ac:dyDescent="0.35">
      <c r="A26" s="124" t="s">
        <v>160</v>
      </c>
      <c r="B26" s="193">
        <v>1500</v>
      </c>
      <c r="C26" s="546">
        <v>1500</v>
      </c>
      <c r="D26" s="355">
        <f>+B26</f>
        <v>1500</v>
      </c>
      <c r="E26" s="355">
        <f>+C26</f>
        <v>1500</v>
      </c>
      <c r="G26" s="258" t="s">
        <v>699</v>
      </c>
      <c r="H26" s="259"/>
      <c r="I26" s="1198">
        <f>300*12</f>
        <v>3600</v>
      </c>
      <c r="J26" s="1304" t="s">
        <v>730</v>
      </c>
      <c r="K26" s="1304"/>
      <c r="L26" s="1199">
        <f>86.33*12</f>
        <v>1035.96</v>
      </c>
    </row>
    <row r="27" spans="1:14" ht="15" customHeight="1" thickBot="1" x14ac:dyDescent="0.4">
      <c r="A27" s="124" t="s">
        <v>597</v>
      </c>
      <c r="B27" s="193">
        <v>1300</v>
      </c>
      <c r="C27" s="546">
        <v>1300</v>
      </c>
      <c r="D27" s="355">
        <f t="shared" ref="D27:E28" si="0">+B27</f>
        <v>1300</v>
      </c>
      <c r="E27" s="355">
        <f t="shared" si="0"/>
        <v>1300</v>
      </c>
      <c r="G27" s="1200"/>
      <c r="H27" s="750"/>
      <c r="I27" s="750"/>
      <c r="J27" s="1305"/>
      <c r="K27" s="1305"/>
      <c r="L27" s="1201"/>
    </row>
    <row r="28" spans="1:14" ht="15" customHeight="1" x14ac:dyDescent="0.35">
      <c r="A28" s="124" t="s">
        <v>99</v>
      </c>
      <c r="B28" s="193">
        <v>600</v>
      </c>
      <c r="C28" s="546">
        <v>600</v>
      </c>
      <c r="D28" s="355">
        <f t="shared" si="0"/>
        <v>600</v>
      </c>
      <c r="E28" s="355">
        <f t="shared" si="0"/>
        <v>600</v>
      </c>
      <c r="G28" s="1195" t="s">
        <v>702</v>
      </c>
      <c r="H28" s="1202"/>
      <c r="I28" s="1202"/>
      <c r="J28" s="293"/>
      <c r="K28" s="293"/>
      <c r="L28" s="903"/>
    </row>
    <row r="29" spans="1:14" ht="15" customHeight="1" x14ac:dyDescent="0.35">
      <c r="A29" s="135" t="s">
        <v>162</v>
      </c>
      <c r="B29" s="194">
        <f>+SUM(B26:B28)</f>
        <v>3400</v>
      </c>
      <c r="C29" s="548">
        <f>+SUM(C26:C28)</f>
        <v>3400</v>
      </c>
      <c r="D29" s="356">
        <f>+SUM(D26:D28)</f>
        <v>3400</v>
      </c>
      <c r="E29" s="356">
        <f>+SUM(E26:E28)</f>
        <v>3400</v>
      </c>
      <c r="G29" s="1196" t="s">
        <v>696</v>
      </c>
      <c r="H29" s="912"/>
      <c r="I29" s="1214">
        <f>ROUNDUP(+I30+I31+I32+L30+L31+L32,0)</f>
        <v>23255</v>
      </c>
      <c r="J29" s="259"/>
      <c r="K29" s="259"/>
      <c r="L29" s="1197"/>
    </row>
    <row r="30" spans="1:14" ht="15" customHeight="1" thickBot="1" x14ac:dyDescent="0.4">
      <c r="G30" s="258" t="s">
        <v>697</v>
      </c>
      <c r="H30" s="259"/>
      <c r="I30" s="1198">
        <f>697.87*12</f>
        <v>8374.44</v>
      </c>
      <c r="J30" s="259" t="s">
        <v>700</v>
      </c>
      <c r="K30" s="259"/>
      <c r="L30" s="1199">
        <f>200*12</f>
        <v>2400</v>
      </c>
    </row>
    <row r="31" spans="1:14" ht="15" customHeight="1" thickTop="1" thickBot="1" x14ac:dyDescent="0.4">
      <c r="A31" s="431" t="s">
        <v>586</v>
      </c>
      <c r="B31" s="734">
        <f>+B13+B16+B23+B29</f>
        <v>90938</v>
      </c>
      <c r="C31" s="727">
        <f>+C13+C16+C23+C29</f>
        <v>95107</v>
      </c>
      <c r="D31" s="1033">
        <f>+D13+D16+D23+D29</f>
        <v>95134</v>
      </c>
      <c r="E31" s="1033">
        <f>+E13+E16+E23+E29</f>
        <v>95107</v>
      </c>
      <c r="G31" s="258" t="s">
        <v>698</v>
      </c>
      <c r="H31" s="259"/>
      <c r="I31" s="1198">
        <f>(703.66*12)-2607.13</f>
        <v>5836.79</v>
      </c>
      <c r="J31" s="259" t="s">
        <v>701</v>
      </c>
      <c r="K31" s="259"/>
      <c r="L31" s="1199">
        <f>(35+1.38)*12</f>
        <v>436.56000000000006</v>
      </c>
    </row>
    <row r="32" spans="1:14" ht="15" customHeight="1" thickTop="1" x14ac:dyDescent="0.35">
      <c r="A32" s="197" t="s">
        <v>593</v>
      </c>
      <c r="B32" s="551"/>
      <c r="C32" s="551"/>
      <c r="D32" s="1034">
        <f>(+D31-B31)/B31</f>
        <v>4.6141327057995556E-2</v>
      </c>
      <c r="E32" s="1034">
        <f>(+E31-B31)/B31</f>
        <v>4.5844421473971275E-2</v>
      </c>
      <c r="G32" s="258" t="s">
        <v>699</v>
      </c>
      <c r="H32" s="259"/>
      <c r="I32" s="1198">
        <f>300*12</f>
        <v>3600</v>
      </c>
      <c r="J32" s="1304" t="s">
        <v>730</v>
      </c>
      <c r="K32" s="1304"/>
      <c r="L32" s="1199">
        <f>8443.92-5836.79</f>
        <v>2607.13</v>
      </c>
    </row>
    <row r="33" spans="1:12" ht="15" thickBot="1" x14ac:dyDescent="0.4">
      <c r="A33" s="259"/>
      <c r="G33" s="1200"/>
      <c r="H33" s="750"/>
      <c r="I33" s="750"/>
      <c r="J33" s="1305"/>
      <c r="K33" s="1305"/>
      <c r="L33" s="1201"/>
    </row>
    <row r="34" spans="1:12" s="174" customFormat="1" x14ac:dyDescent="0.35">
      <c r="A34" s="155" t="s">
        <v>595</v>
      </c>
    </row>
    <row r="35" spans="1:12" s="174" customFormat="1" x14ac:dyDescent="0.35">
      <c r="A35" s="155" t="s">
        <v>596</v>
      </c>
    </row>
    <row r="36" spans="1:12" x14ac:dyDescent="0.35">
      <c r="A36" s="259"/>
      <c r="B36" s="195"/>
      <c r="C36" s="195"/>
      <c r="D36" s="1035"/>
      <c r="E36" s="1035"/>
    </row>
    <row r="37" spans="1:12" ht="18.5" x14ac:dyDescent="0.35">
      <c r="A37" s="767" t="s">
        <v>426</v>
      </c>
    </row>
    <row r="38" spans="1:12" ht="32" customHeight="1" thickBot="1" x14ac:dyDescent="0.4">
      <c r="A38" s="750"/>
      <c r="B38" s="750"/>
    </row>
    <row r="39" spans="1:12" x14ac:dyDescent="0.35">
      <c r="A39" s="748" t="s">
        <v>571</v>
      </c>
      <c r="B39" s="751" t="s">
        <v>427</v>
      </c>
    </row>
    <row r="41" spans="1:12" ht="32" customHeight="1" thickBot="1" x14ac:dyDescent="0.4">
      <c r="A41" s="750"/>
      <c r="B41" s="750"/>
    </row>
    <row r="42" spans="1:12" x14ac:dyDescent="0.35">
      <c r="A42" s="748" t="s">
        <v>600</v>
      </c>
      <c r="B42" s="751" t="s">
        <v>427</v>
      </c>
    </row>
    <row r="44" spans="1:12" ht="32" customHeight="1" thickBot="1" x14ac:dyDescent="0.4">
      <c r="A44" s="750"/>
      <c r="B44" s="750"/>
    </row>
    <row r="45" spans="1:12" ht="29" x14ac:dyDescent="0.35">
      <c r="A45" s="765" t="s">
        <v>601</v>
      </c>
      <c r="B45" s="751" t="s">
        <v>427</v>
      </c>
    </row>
  </sheetData>
  <mergeCells count="6">
    <mergeCell ref="J32:K33"/>
    <mergeCell ref="J26:K27"/>
    <mergeCell ref="A1:L1"/>
    <mergeCell ref="G21:L21"/>
    <mergeCell ref="K11:K12"/>
    <mergeCell ref="G10:L10"/>
  </mergeCells>
  <pageMargins left="0" right="0" top="0.5" bottom="0" header="0.3" footer="0.3"/>
  <pageSetup scale="71" orientation="landscape" horizontalDpi="4294967293" verticalDpi="0" r:id="rId1"/>
  <headerFooter>
    <oddFooter>&amp;R&amp;D</oddFooter>
  </headerFooter>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election activeCell="L22" sqref="L22"/>
    </sheetView>
  </sheetViews>
  <sheetFormatPr defaultRowHeight="15.5" x14ac:dyDescent="0.35"/>
  <cols>
    <col min="1" max="16384" width="8.7265625" style="1215"/>
  </cols>
  <sheetData>
    <row r="3" spans="1:10" ht="20" x14ac:dyDescent="0.4">
      <c r="A3" s="1312" t="s">
        <v>80</v>
      </c>
      <c r="B3" s="1312"/>
      <c r="C3" s="1312"/>
      <c r="D3" s="1312"/>
      <c r="E3" s="1312"/>
      <c r="F3" s="1312"/>
      <c r="G3" s="1312"/>
      <c r="H3" s="1312"/>
      <c r="I3" s="1312"/>
      <c r="J3" s="1312"/>
    </row>
    <row r="4" spans="1:10" x14ac:dyDescent="0.35">
      <c r="A4" s="1313" t="s">
        <v>725</v>
      </c>
      <c r="B4" s="1313"/>
      <c r="C4" s="1313"/>
      <c r="D4" s="1313"/>
      <c r="E4" s="1313"/>
      <c r="F4" s="1313"/>
      <c r="G4" s="1313"/>
      <c r="H4" s="1313"/>
      <c r="I4" s="1313"/>
      <c r="J4" s="1313"/>
    </row>
    <row r="7" spans="1:10" x14ac:dyDescent="0.35">
      <c r="A7" s="1215" t="s">
        <v>724</v>
      </c>
    </row>
    <row r="8" spans="1:10" x14ac:dyDescent="0.35">
      <c r="A8" s="1215" t="s">
        <v>713</v>
      </c>
    </row>
    <row r="9" spans="1:10" x14ac:dyDescent="0.35">
      <c r="A9" s="1215" t="s">
        <v>726</v>
      </c>
    </row>
    <row r="10" spans="1:10" x14ac:dyDescent="0.35">
      <c r="A10" s="1215" t="s">
        <v>717</v>
      </c>
    </row>
    <row r="11" spans="1:10" x14ac:dyDescent="0.35">
      <c r="A11" s="1215" t="s">
        <v>731</v>
      </c>
    </row>
    <row r="12" spans="1:10" x14ac:dyDescent="0.35">
      <c r="B12" s="1215" t="s">
        <v>714</v>
      </c>
    </row>
    <row r="13" spans="1:10" x14ac:dyDescent="0.35">
      <c r="B13" s="1215" t="s">
        <v>715</v>
      </c>
    </row>
    <row r="14" spans="1:10" x14ac:dyDescent="0.35">
      <c r="B14" s="1215" t="s">
        <v>716</v>
      </c>
    </row>
    <row r="16" spans="1:10" x14ac:dyDescent="0.35">
      <c r="A16" s="1215" t="s">
        <v>721</v>
      </c>
    </row>
    <row r="17" spans="1:2" x14ac:dyDescent="0.35">
      <c r="A17" s="1215" t="s">
        <v>718</v>
      </c>
    </row>
    <row r="18" spans="1:2" x14ac:dyDescent="0.35">
      <c r="A18" s="1215" t="s">
        <v>727</v>
      </c>
    </row>
    <row r="19" spans="1:2" x14ac:dyDescent="0.35">
      <c r="A19" s="1215" t="s">
        <v>719</v>
      </c>
    </row>
    <row r="20" spans="1:2" x14ac:dyDescent="0.35">
      <c r="A20" s="1215" t="s">
        <v>720</v>
      </c>
    </row>
    <row r="21" spans="1:2" x14ac:dyDescent="0.35">
      <c r="B21" s="1221" t="s">
        <v>733</v>
      </c>
    </row>
    <row r="22" spans="1:2" x14ac:dyDescent="0.35">
      <c r="B22" s="1215" t="s">
        <v>722</v>
      </c>
    </row>
    <row r="24" spans="1:2" x14ac:dyDescent="0.35">
      <c r="B24" s="1215" t="s">
        <v>723</v>
      </c>
    </row>
    <row r="25" spans="1:2" x14ac:dyDescent="0.35">
      <c r="B25" s="1215" t="s">
        <v>728</v>
      </c>
    </row>
  </sheetData>
  <mergeCells count="2">
    <mergeCell ref="A3:J3"/>
    <mergeCell ref="A4:J4"/>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25</vt:i4>
      </vt:variant>
      <vt:variant>
        <vt:lpstr>Charts</vt:lpstr>
      </vt:variant>
      <vt:variant>
        <vt:i4>1</vt:i4>
      </vt:variant>
      <vt:variant>
        <vt:lpstr>Named Ranges</vt:lpstr>
      </vt:variant>
      <vt:variant>
        <vt:i4>4</vt:i4>
      </vt:variant>
    </vt:vector>
  </HeadingPairs>
  <TitlesOfParts>
    <vt:vector size="30" baseType="lpstr">
      <vt:lpstr>Top Sheet</vt:lpstr>
      <vt:lpstr>Summary New Year</vt:lpstr>
      <vt:lpstr>Annual Report</vt:lpstr>
      <vt:lpstr>New Year-Full Year</vt:lpstr>
      <vt:lpstr>Analysis of Rates</vt:lpstr>
      <vt:lpstr>Technology</vt:lpstr>
      <vt:lpstr>Year End Overage</vt:lpstr>
      <vt:lpstr>John</vt:lpstr>
      <vt:lpstr>Housing Letter</vt:lpstr>
      <vt:lpstr>Band and Other Music</vt:lpstr>
      <vt:lpstr>Income Pacing</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2024-02-22T00:42:27Z</cp:lastPrinted>
  <dcterms:created xsi:type="dcterms:W3CDTF">2011-12-01T18:07:46Z</dcterms:created>
  <dcterms:modified xsi:type="dcterms:W3CDTF">2024-02-22T00:57:21Z</dcterms:modified>
</cp:coreProperties>
</file>